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mbeddings/oleObject1.bin" ContentType="application/vnd.openxmlformats-officedocument.oleObject"/>
  <Override PartName="/xl/embeddings/oleObject2.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codeName="ThisWorkbook" defaultThemeVersion="124226"/>
  <mc:AlternateContent xmlns:mc="http://schemas.openxmlformats.org/markup-compatibility/2006">
    <mc:Choice Requires="x15">
      <x15ac:absPath xmlns:x15ac="http://schemas.microsoft.com/office/spreadsheetml/2010/11/ac" url="D:\Windows\ServiceProfiles\NetworkService\AppData\Local\Packages\oice_16_974fa576_32c1d314_2a5b\AC\Temp\"/>
    </mc:Choice>
  </mc:AlternateContent>
  <xr:revisionPtr revIDLastSave="12" documentId="8_{AA7C2FF3-9F9B-6D4D-A27D-0EEF443E74EB}" xr6:coauthVersionLast="47" xr6:coauthVersionMax="47" xr10:uidLastSave="{6EF2542A-C2E6-8443-8263-C4DD6D39D67A}"/>
  <bookViews>
    <workbookView xWindow="-60" yWindow="-60" windowWidth="15480" windowHeight="11640" firstSheet="5" activeTab="3" xr2:uid="{00000000-000D-0000-FFFF-FFFF00000000}"/>
  </bookViews>
  <sheets>
    <sheet name="METRIC CONVERSIONS" sheetId="9" r:id="rId1"/>
    <sheet name="CIRCLE INTERPOLATIONS" sheetId="8" r:id="rId2"/>
    <sheet name="RADIAL CHIP THINNING" sheetId="7" r:id="rId3"/>
    <sheet name="LEAD ANGLES" sheetId="6" r:id="rId4"/>
    <sheet name="MILL FINISHES" sheetId="5" r:id="rId5"/>
    <sheet name="CALCULATIONS PAGE" sheetId="4" r:id="rId6"/>
    <sheet name="TURN SURFACE FINISHES" sheetId="2" r:id="rId7"/>
    <sheet name="ROUND INSERT TOOLS" sheetId="1" r:id="rId8"/>
  </sheets>
  <definedNames>
    <definedName name="_xlnm.Print_Area" localSheetId="5">'CALCULATIONS PAGE'!$A$1:$K$79</definedName>
    <definedName name="_xlnm.Print_Area" localSheetId="7">'ROUND INSERT TOOLS'!$A$1:$L$73</definedName>
    <definedName name="_xlnm.Print_Area" localSheetId="6">'TURN SURFACE FINISHES'!$A$1:$L$34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1" i="4" l="1"/>
  <c r="D68" i="4"/>
  <c r="F59" i="8"/>
  <c r="C59" i="8"/>
  <c r="D59" i="8"/>
  <c r="E59" i="8"/>
  <c r="B59" i="8"/>
  <c r="B48" i="8"/>
  <c r="B30" i="8"/>
  <c r="C30" i="8"/>
  <c r="D30" i="8"/>
  <c r="E30" i="8"/>
  <c r="F30" i="8"/>
  <c r="H25" i="8"/>
  <c r="B24" i="6"/>
  <c r="C24" i="6"/>
  <c r="B25" i="5"/>
  <c r="C25" i="5"/>
  <c r="F9" i="5"/>
  <c r="P14" i="4"/>
  <c r="M16" i="4"/>
  <c r="M18" i="4"/>
  <c r="M19" i="4"/>
  <c r="M20" i="4"/>
  <c r="K22" i="4"/>
  <c r="D20" i="4"/>
  <c r="M21" i="4"/>
  <c r="J25" i="4"/>
  <c r="D24" i="4"/>
  <c r="I26" i="4"/>
  <c r="K26" i="4"/>
  <c r="D28" i="4"/>
  <c r="J29" i="4"/>
  <c r="M29" i="4"/>
  <c r="O29" i="4"/>
  <c r="P29" i="4"/>
  <c r="Q29" i="4"/>
  <c r="K43" i="4"/>
  <c r="I30" i="4"/>
  <c r="K30" i="4"/>
  <c r="N30" i="4"/>
  <c r="H44" i="4"/>
  <c r="O30" i="4"/>
  <c r="P30" i="4"/>
  <c r="J44" i="4"/>
  <c r="Q30" i="4"/>
  <c r="N31" i="4"/>
  <c r="H45" i="4"/>
  <c r="O31" i="4"/>
  <c r="P31" i="4"/>
  <c r="J45" i="4"/>
  <c r="Q31" i="4"/>
  <c r="D32" i="4"/>
  <c r="N32" i="4"/>
  <c r="O32" i="4"/>
  <c r="I46" i="4"/>
  <c r="P32" i="4"/>
  <c r="Q32" i="4"/>
  <c r="K46" i="4"/>
  <c r="J33" i="4"/>
  <c r="N33" i="4"/>
  <c r="H47" i="4"/>
  <c r="O33" i="4"/>
  <c r="P33" i="4"/>
  <c r="J47" i="4"/>
  <c r="Q33" i="4"/>
  <c r="I34" i="4"/>
  <c r="K34" i="4"/>
  <c r="D36" i="4"/>
  <c r="J37" i="4"/>
  <c r="J38" i="4"/>
  <c r="D40" i="4"/>
  <c r="H43" i="4"/>
  <c r="N29" i="4"/>
  <c r="J43" i="4"/>
  <c r="D44" i="4"/>
  <c r="I44" i="4"/>
  <c r="K44" i="4"/>
  <c r="I45" i="4"/>
  <c r="K45" i="4"/>
  <c r="H46" i="4"/>
  <c r="J46" i="4"/>
  <c r="D47" i="4"/>
  <c r="I47" i="4"/>
  <c r="K47" i="4"/>
  <c r="D50" i="4"/>
  <c r="K51" i="4"/>
  <c r="D53" i="4"/>
  <c r="U53" i="4"/>
  <c r="V53" i="4"/>
  <c r="K68" i="4"/>
  <c r="K54" i="4"/>
  <c r="U55" i="4"/>
  <c r="V55" i="4"/>
  <c r="D56" i="4"/>
  <c r="I57" i="4"/>
  <c r="D59" i="4"/>
  <c r="D62" i="4"/>
  <c r="K64" i="4"/>
  <c r="D65" i="4"/>
  <c r="G71" i="4"/>
  <c r="G72" i="4"/>
  <c r="G74" i="4"/>
  <c r="G75" i="4"/>
  <c r="G76" i="4"/>
  <c r="G77" i="4"/>
  <c r="G78" i="4"/>
  <c r="K21" i="2"/>
  <c r="K29" i="2"/>
  <c r="M26" i="1"/>
  <c r="J26" i="1"/>
  <c r="G33" i="1"/>
  <c r="N52" i="1"/>
  <c r="N53" i="1"/>
  <c r="N54" i="1"/>
  <c r="E49" i="1"/>
  <c r="N58" i="1"/>
  <c r="N59" i="1"/>
  <c r="N60" i="1"/>
  <c r="H49" i="1"/>
  <c r="N64" i="1"/>
  <c r="N65" i="1"/>
  <c r="N66" i="1"/>
  <c r="K49" i="1"/>
  <c r="N72" i="1"/>
  <c r="N73" i="1"/>
  <c r="N74" i="1"/>
  <c r="N75" i="1"/>
  <c r="J68" i="1"/>
  <c r="B16" i="7"/>
  <c r="D16" i="7"/>
  <c r="F16" i="7"/>
  <c r="H16" i="7"/>
  <c r="J89" i="9"/>
  <c r="D89" i="9"/>
  <c r="F84" i="9"/>
  <c r="F81" i="9"/>
  <c r="B78" i="9"/>
  <c r="F78" i="9"/>
  <c r="J78" i="9"/>
  <c r="F56" i="9"/>
  <c r="J67" i="9"/>
  <c r="D67" i="9"/>
  <c r="F62" i="9"/>
  <c r="F59" i="9"/>
  <c r="J56" i="9"/>
  <c r="B56" i="9"/>
  <c r="J45" i="9"/>
  <c r="D45" i="9"/>
  <c r="F32" i="9"/>
  <c r="B32" i="9"/>
  <c r="J31" i="9"/>
  <c r="F39" i="9"/>
  <c r="J21" i="9"/>
  <c r="D21" i="9"/>
  <c r="J7" i="9"/>
  <c r="J12" i="9"/>
  <c r="F15" i="9"/>
  <c r="F8" i="9"/>
  <c r="B8" i="9"/>
  <c r="J15" i="9"/>
  <c r="I43" i="4"/>
  <c r="J39" i="9"/>
  <c r="J36" i="9"/>
  <c r="I10" i="6"/>
  <c r="F17" i="6"/>
  <c r="A33" i="1"/>
  <c r="D33" i="1"/>
  <c r="H12" i="7"/>
  <c r="B18" i="7"/>
  <c r="I18" i="7"/>
  <c r="B25" i="8"/>
  <c r="J33" i="1"/>
</calcChain>
</file>

<file path=xl/sharedStrings.xml><?xml version="1.0" encoding="utf-8"?>
<sst xmlns="http://schemas.openxmlformats.org/spreadsheetml/2006/main" count="478" uniqueCount="250">
  <si>
    <t>BALL NOSE &amp; ROUND INSERT CUTTING CALCULATIONS &amp; ADJUSTMENTS</t>
  </si>
  <si>
    <t>Contents Page</t>
  </si>
  <si>
    <t>Calculations Page</t>
  </si>
  <si>
    <t>Materials Page</t>
  </si>
  <si>
    <t>Milling Indexable vs Indexable Tools</t>
  </si>
  <si>
    <t>Milling Indexable vs Solid Tools</t>
  </si>
  <si>
    <t>Milling Solid vs Solid Tools</t>
  </si>
  <si>
    <t>Milling Power Page</t>
  </si>
  <si>
    <t>Ball Nose Surface Finish Calculator</t>
  </si>
  <si>
    <t>Turning Power Page</t>
  </si>
  <si>
    <t>Drilling Power Page</t>
  </si>
  <si>
    <t>Parting &amp; Grooving Power</t>
  </si>
  <si>
    <t>SPEED AND FEED CALCULATIONS</t>
  </si>
  <si>
    <t>ENTER REQUIRED INFORMATION IN WHITE</t>
  </si>
  <si>
    <t xml:space="preserve"> </t>
  </si>
  <si>
    <t>DESIRED CUTTING SPEED  (SFM)</t>
  </si>
  <si>
    <t>INSERT OR ENDMILL DIAMETER</t>
  </si>
  <si>
    <t>Inches</t>
  </si>
  <si>
    <t>DESIRED FEED RATE (IPT)</t>
  </si>
  <si>
    <t>DEPTH OF CUT -  (DOC)</t>
  </si>
  <si>
    <t>NUMBER OF EFFECTIVE FLUTES</t>
  </si>
  <si>
    <t>RADIAL CHIP THINNING FACTOR</t>
  </si>
  <si>
    <t>TRUE TOOL DIAMETER</t>
  </si>
  <si>
    <t>CORRECTED RPM</t>
  </si>
  <si>
    <t>ADJUSTED FEED RATE (IPT)</t>
  </si>
  <si>
    <t>CORRECT TABLE FEED (IPM)</t>
  </si>
  <si>
    <t>ROUND INSERT &amp; BALL NOSE CUTTER SURFACE FINISHES</t>
  </si>
  <si>
    <t>****SURFACE FINISHES ARE THEORETICAL AND GIVEN IN Ra VALUES - RMS = Ra x 1.11****</t>
  </si>
  <si>
    <t>TO FIND:</t>
  </si>
  <si>
    <t>RESULTING SURFACE FINISH IN Ra</t>
  </si>
  <si>
    <t>REQUIRED STEPOVER  TO ACHIEVE Ra</t>
  </si>
  <si>
    <t>DIAMETER TO ACHIEVE Ra</t>
  </si>
  <si>
    <t>ENTER</t>
  </si>
  <si>
    <t>TOOL DIAMETER:</t>
  </si>
  <si>
    <t>TOOL STEP OVER:</t>
  </si>
  <si>
    <t>SURFACE FINISH - Ra:</t>
  </si>
  <si>
    <t>****TO FIND Rt****</t>
  </si>
  <si>
    <t>INSERT OR TOOL DIAMETER</t>
  </si>
  <si>
    <t xml:space="preserve"> TOOL STEP OVER</t>
  </si>
  <si>
    <t>Rt:</t>
  </si>
  <si>
    <t>Back to Top</t>
  </si>
  <si>
    <t>Turning Surface Finishes</t>
  </si>
  <si>
    <t>Enter Information In White Data Cells</t>
  </si>
  <si>
    <t xml:space="preserve">Data Returned Gives Theoretical Ra Values in Micro Inches - To conver to RMS Multiply by 1.1 - (Ra X 1.1) </t>
  </si>
  <si>
    <t>Calculations Are Based On 80 Degree Insert Geometry - 55 &amp; 35 Degree Inserts Will Give Higher Values</t>
  </si>
  <si>
    <t>To Find Resulting Ra</t>
  </si>
  <si>
    <t>Insert Corner Radius</t>
  </si>
  <si>
    <t xml:space="preserve">    Tool Feed Rate Inches Per Revolution</t>
  </si>
  <si>
    <t>Resulting Ra</t>
  </si>
  <si>
    <t>To Find Required Feed Rate (IPR)</t>
  </si>
  <si>
    <t>Ra Finish Requirement</t>
  </si>
  <si>
    <t>Feed Rate Required (IPR)</t>
  </si>
  <si>
    <t>To Top of Page</t>
  </si>
  <si>
    <t>Internal</t>
  </si>
  <si>
    <t>RPM:</t>
  </si>
  <si>
    <t>CALCULATIONS PAGE</t>
  </si>
  <si>
    <t>Drilling Indexable vs Indexable tools</t>
  </si>
  <si>
    <t>Milling Indexable vs. Solid or Brazed Tools</t>
  </si>
  <si>
    <t xml:space="preserve">Milling Power </t>
  </si>
  <si>
    <t>Drilling Indexable vs. Solid or Brazed Tools</t>
  </si>
  <si>
    <t xml:space="preserve">Milling Solid or Brazed  vs. Solid or Brazed </t>
  </si>
  <si>
    <t xml:space="preserve">Drilling Solid or Brazed vs. Solid or Brazed </t>
  </si>
  <si>
    <t xml:space="preserve">Round Insert Milling Calculations </t>
  </si>
  <si>
    <t>Turning ISO vs. ISO Tooling</t>
  </si>
  <si>
    <t>Drilling Power</t>
  </si>
  <si>
    <t>Milling Chip Thinning Calculator</t>
  </si>
  <si>
    <t>Parting &amp; Grooving Quick Calculator</t>
  </si>
  <si>
    <t>GTO Tooling Quick Calculator</t>
  </si>
  <si>
    <t>Parting Indexable vs. Indexable Tooling</t>
  </si>
  <si>
    <t>Turning Power</t>
  </si>
  <si>
    <t>Parting Indexable vs. Solid Tooling</t>
  </si>
  <si>
    <t>Part/Groove Power</t>
  </si>
  <si>
    <t>60 degree thread dp.</t>
  </si>
  <si>
    <t>Stub Acme Depth</t>
  </si>
  <si>
    <t>Passes</t>
  </si>
  <si>
    <t>COMMON CONVERSIONS &amp; CALCULATIONS</t>
  </si>
  <si>
    <t>external</t>
  </si>
  <si>
    <t>internal</t>
  </si>
  <si>
    <t>pitch decimal</t>
  </si>
  <si>
    <t>TPI Acme</t>
  </si>
  <si>
    <t>Depth</t>
  </si>
  <si>
    <t>TPI NPT</t>
  </si>
  <si>
    <t>N/A</t>
  </si>
  <si>
    <t>ENTER IN WHITE</t>
  </si>
  <si>
    <t>RESULTS IN YELLOW</t>
  </si>
  <si>
    <t>Pi. X Dia.</t>
  </si>
  <si>
    <t>=</t>
  </si>
  <si>
    <t xml:space="preserve"> SFM</t>
  </si>
  <si>
    <t>TO</t>
  </si>
  <si>
    <t>RPM</t>
  </si>
  <si>
    <t>Down</t>
  </si>
  <si>
    <t>THREAD HELIX ANGLE</t>
  </si>
  <si>
    <t>Threads Per Inch</t>
  </si>
  <si>
    <t>Thread Diameter</t>
  </si>
  <si>
    <t>radians</t>
  </si>
  <si>
    <t>Cutter Diameter:</t>
  </si>
  <si>
    <t>Pitch</t>
  </si>
  <si>
    <t>HELIX ANGLE:</t>
  </si>
  <si>
    <t>SFM</t>
  </si>
  <si>
    <t>NUMBER OF THREADING PASSES - 60 DEGREE FORMS</t>
  </si>
  <si>
    <t>Threads per Inch</t>
  </si>
  <si>
    <t>UN Thread Depth External:</t>
  </si>
  <si>
    <t xml:space="preserve"> UN Internal:</t>
  </si>
  <si>
    <t>IPM</t>
  </si>
  <si>
    <t>IPT</t>
  </si>
  <si>
    <t>SQRT</t>
  </si>
  <si>
    <t>To Top</t>
  </si>
  <si>
    <t>NUMBER OF THREADING PASSES - ACME FORMS</t>
  </si>
  <si>
    <t># pass -1</t>
  </si>
  <si>
    <t>factor#</t>
  </si>
  <si>
    <t>factor #</t>
  </si>
  <si>
    <t># Effective Flutes:</t>
  </si>
  <si>
    <t>Acme thread depth External</t>
  </si>
  <si>
    <t>Acme Internal</t>
  </si>
  <si>
    <t>#5-8</t>
  </si>
  <si>
    <t>#9-12</t>
  </si>
  <si>
    <t>NUMBER OF THREADING PASSES - STUB ACME FORMS</t>
  </si>
  <si>
    <t>#13-16</t>
  </si>
  <si>
    <t xml:space="preserve"> Threads per Inch</t>
  </si>
  <si>
    <t>#17-20</t>
  </si>
  <si>
    <t>Stub thread depth External</t>
  </si>
  <si>
    <t>Stub Internal</t>
  </si>
  <si>
    <t>IPR</t>
  </si>
  <si>
    <t>NUMBER OF THEADING PASSES - NPT FORM</t>
  </si>
  <si>
    <t>NPT Thread Depths, External &amp; Internal</t>
  </si>
  <si>
    <t>DIMINISHING INFEED PER PASS - THREADING</t>
  </si>
  <si>
    <t xml:space="preserve">Total Thread Depth </t>
  </si>
  <si>
    <t># Passes</t>
  </si>
  <si>
    <t xml:space="preserve">Depth of Cut per Pass </t>
  </si>
  <si>
    <t xml:space="preserve">HORSEPOWER </t>
  </si>
  <si>
    <t>KILOWATTS</t>
  </si>
  <si>
    <t>Pass 1 - 4</t>
  </si>
  <si>
    <t>#5 - 8</t>
  </si>
  <si>
    <t>#9 - 12</t>
  </si>
  <si>
    <t>HORSEPOWER</t>
  </si>
  <si>
    <t>#13 - 16</t>
  </si>
  <si>
    <t>#17 - 20</t>
  </si>
  <si>
    <t>FEET</t>
  </si>
  <si>
    <t>METERS</t>
  </si>
  <si>
    <t>TURNING SURFACE FINISHES</t>
  </si>
  <si>
    <t>Corner Radius</t>
  </si>
  <si>
    <t>Resulting Surface Finish (Ra)</t>
  </si>
  <si>
    <t>MILL INDEXABLE vs INDEXABLE'!q174</t>
  </si>
  <si>
    <t xml:space="preserve">METERS </t>
  </si>
  <si>
    <t xml:space="preserve">ARCSINE </t>
  </si>
  <si>
    <t>Desired Surface Finish (Ra)</t>
  </si>
  <si>
    <t>Up</t>
  </si>
  <si>
    <t>INCHES</t>
  </si>
  <si>
    <t xml:space="preserve">Down </t>
  </si>
  <si>
    <t>All Surface Finish calculations are based on 80 degree diamond or trigon inserts.  55 &amp; 35 degree inserts will have rougher Ra values.</t>
  </si>
  <si>
    <t>BRINELL HARDNESS</t>
  </si>
  <si>
    <t>ROCKWELL C</t>
  </si>
  <si>
    <t>**FOR TURNING &amp; DRILLING NON-INTERUPTED CUTS**</t>
  </si>
  <si>
    <t>THEORETICAL TOOL LIFE @ 15 MINUTES CUTTING TIME</t>
  </si>
  <si>
    <t>TIME IN CUT (MIN/PART)</t>
  </si>
  <si>
    <t># PARTS</t>
  </si>
  <si>
    <t>ACTUAL TIME IN CUT PER INSERT - MILLING</t>
  </si>
  <si>
    <t>AVE. WOC:</t>
  </si>
  <si>
    <t>MIN/INSERT</t>
  </si>
  <si>
    <t>TOOL LIFE / CUTTING SPEED ADJUSTMENTS</t>
  </si>
  <si>
    <t>SFM WILL ACHIEVE:</t>
  </si>
  <si>
    <t>MIN/LIFE</t>
  </si>
  <si>
    <t>(Enter a cutting speed that attains 15 minutes of tool life)</t>
  </si>
  <si>
    <t>THEORETICAL MILLING SIDE WALL FINISHES</t>
  </si>
  <si>
    <t>TOOL DIAMETER</t>
  </si>
  <si>
    <t>NUMBER OF FLUTES</t>
  </si>
  <si>
    <t>FEED RATE (IPT)</t>
  </si>
  <si>
    <t>THEORETICAL SURFACE FINISH (μin)</t>
  </si>
  <si>
    <t>This calculation is for reference purposes only.  It applies to indexable insert milling cutters.  The values for solid carbide tools will be significantly lower based on tool run out, helix angle and other factors.</t>
  </si>
  <si>
    <t>apr</t>
  </si>
  <si>
    <t>apr x apr /d</t>
  </si>
  <si>
    <r>
      <t>NOTE:</t>
    </r>
    <r>
      <rPr>
        <b/>
        <sz val="14"/>
        <color indexed="10"/>
        <rFont val="Arial"/>
        <family val="2"/>
      </rPr>
      <t xml:space="preserve"> </t>
    </r>
    <r>
      <rPr>
        <b/>
        <sz val="8"/>
        <rFont val="Arial"/>
        <family val="2"/>
      </rPr>
      <t xml:space="preserve">When using the Radial Chip Thinning Calculator, extremely high feed rates can result.  These feed rates may produce an unacceptable side wall finish.  Use this calculator to estimate the resultant finishes at high feed rates. </t>
    </r>
  </si>
  <si>
    <t>Milling Lead Angle Chip Thinning Calculator</t>
  </si>
  <si>
    <t>Lead approach angles on milling cutters produce a thinner chip than the actual advance per tooth. Enter the desired chip load into the calculator.  It will provide the adjusted feed per tooth to obtain the desired chip thickness.  The chip thinning factor is equal to the cosine of the approach angle.</t>
  </si>
  <si>
    <t>Desired Chip Load (IPT)</t>
  </si>
  <si>
    <t>Approach Angle</t>
  </si>
  <si>
    <t>Adjusted Chip Load (IPT)</t>
  </si>
  <si>
    <t xml:space="preserve">NOTE:   Enter the approach angle from "0" degrees.  As an example, a tool that cuts a 90 degree square shoulder has a "0" degree lead.  </t>
  </si>
  <si>
    <t>Common Iscar Tools</t>
  </si>
  <si>
    <t>F90 &amp; E90</t>
  </si>
  <si>
    <t>0 Degree</t>
  </si>
  <si>
    <t>E75 &amp; F75</t>
  </si>
  <si>
    <t>15 Degree</t>
  </si>
  <si>
    <t>E45 &amp; F45</t>
  </si>
  <si>
    <t>45 Degree</t>
  </si>
  <si>
    <t>E30</t>
  </si>
  <si>
    <t>60 Degree</t>
  </si>
  <si>
    <t>E60</t>
  </si>
  <si>
    <t>30 Degree</t>
  </si>
  <si>
    <t>Actual Chip Thickness if Adjustment is not made</t>
  </si>
  <si>
    <t>cosine</t>
  </si>
  <si>
    <t>Radial Chip Thinning Calculator</t>
  </si>
  <si>
    <t>RADIAL WIDTH OF CUT (WOC)</t>
  </si>
  <si>
    <t>DESIRED CHIP LOAD (IPT)</t>
  </si>
  <si>
    <t>ADJUSTED CHIP LOAD (IPT)</t>
  </si>
  <si>
    <t>D-woc xwoc</t>
  </si>
  <si>
    <t>sqrt</t>
  </si>
  <si>
    <t>sqrt/d/2</t>
  </si>
  <si>
    <t>rctf</t>
  </si>
  <si>
    <r>
      <t xml:space="preserve">Actual maximum chip thickness if Radial Chip Thinning Calculation is </t>
    </r>
    <r>
      <rPr>
        <b/>
        <u/>
        <sz val="10"/>
        <rFont val="Arial"/>
        <family val="2"/>
      </rPr>
      <t>not</t>
    </r>
    <r>
      <rPr>
        <b/>
        <sz val="10"/>
        <rFont val="Arial"/>
      </rPr>
      <t xml:space="preserve"> used.</t>
    </r>
  </si>
  <si>
    <r>
      <t>R</t>
    </r>
    <r>
      <rPr>
        <b/>
        <sz val="10"/>
        <rFont val="Arial"/>
        <family val="2"/>
      </rPr>
      <t xml:space="preserve">adial </t>
    </r>
    <r>
      <rPr>
        <b/>
        <u/>
        <sz val="10"/>
        <rFont val="Arial"/>
        <family val="2"/>
      </rPr>
      <t>C</t>
    </r>
    <r>
      <rPr>
        <b/>
        <sz val="10"/>
        <rFont val="Arial"/>
        <family val="2"/>
      </rPr>
      <t xml:space="preserve">hip </t>
    </r>
    <r>
      <rPr>
        <b/>
        <u/>
        <sz val="10"/>
        <rFont val="Arial"/>
        <family val="2"/>
      </rPr>
      <t>T</t>
    </r>
    <r>
      <rPr>
        <b/>
        <sz val="10"/>
        <rFont val="Arial"/>
        <family val="2"/>
      </rPr>
      <t xml:space="preserve">hinning </t>
    </r>
    <r>
      <rPr>
        <b/>
        <u/>
        <sz val="10"/>
        <rFont val="Arial"/>
        <family val="2"/>
      </rPr>
      <t>F</t>
    </r>
    <r>
      <rPr>
        <b/>
        <sz val="10"/>
        <rFont val="Arial"/>
        <family val="2"/>
      </rPr>
      <t>actor</t>
    </r>
  </si>
  <si>
    <t>The output from these calculations are correct for linear machining (straight line) applications.  During circle interpolations and other milling applications where a radius is generated, other factors must be accounted for.  Refer to the Circle Interpolation Calculator.</t>
  </si>
  <si>
    <r>
      <t>NOTE:</t>
    </r>
    <r>
      <rPr>
        <b/>
        <sz val="10"/>
        <rFont val="Arial"/>
        <family val="2"/>
      </rPr>
      <t xml:space="preserve">  For use when less than 1/2 of the diameter of milling cutter is engaged in the width of cut (WOC) and for all slotting type cutters.  The chip thickness produced with less than 1/2 of the diameter in radial contact will be thinner than calculated feed per tooth due to radial chip thinning.  Enter the "desired chip load" (IPT) into the calculator.  The calculator will give the "adjusted" feed rate (IPT) to produce the desired chip thickness.</t>
    </r>
  </si>
  <si>
    <t>CIRCLE INTERPOLATION MILLING CALCULATOR</t>
  </si>
  <si>
    <t>INTERNAL APPLICATIONS</t>
  </si>
  <si>
    <t>Cutter Diameter</t>
  </si>
  <si>
    <t>Radial Width of Cut (WOC)</t>
  </si>
  <si>
    <r>
      <t>Circle Diameter</t>
    </r>
    <r>
      <rPr>
        <b/>
        <sz val="8"/>
        <rFont val="Arial"/>
        <family val="2"/>
      </rPr>
      <t xml:space="preserve">  </t>
    </r>
    <r>
      <rPr>
        <sz val="8"/>
        <rFont val="Arial"/>
        <family val="2"/>
      </rPr>
      <t>(after the cut)</t>
    </r>
  </si>
  <si>
    <t>Desired Chip Load  (IPT)</t>
  </si>
  <si>
    <t>Adjusted Chip Load  (IPT)</t>
  </si>
  <si>
    <t>ID RCTF</t>
  </si>
  <si>
    <t>D-wc xwc</t>
  </si>
  <si>
    <t>sqrt/Radius</t>
  </si>
  <si>
    <t>IF</t>
  </si>
  <si>
    <t>EXTERNAL APPLICATIONS</t>
  </si>
  <si>
    <t>OD RCTF</t>
  </si>
  <si>
    <r>
      <t xml:space="preserve">NOTE:  </t>
    </r>
    <r>
      <rPr>
        <b/>
        <sz val="8"/>
        <rFont val="Arial"/>
        <family val="2"/>
      </rPr>
      <t xml:space="preserve">If the operation is not a full circle interpolation, simply input into the "Circle Diameter" data cell what the theoretical circle size would be.  EXAMPLE:  A 1.00 inch diameter end mill cuts an internal 90 degree corner that has a .625 inch radius. The circle diameter is the radius X 2, or 1.250 inches.  For ID operations the radius of the cutting tool must always be equal to or smaller than the radius to be interpolated.  Whenever </t>
    </r>
    <r>
      <rPr>
        <b/>
        <i/>
        <u/>
        <sz val="8"/>
        <rFont val="Arial"/>
        <family val="2"/>
      </rPr>
      <t>practical</t>
    </r>
    <r>
      <rPr>
        <b/>
        <sz val="8"/>
        <rFont val="Arial"/>
        <family val="2"/>
      </rPr>
      <t>,  try to have the tool diameter be less than or equal to about 1/3 of the diameter to be interpolated</t>
    </r>
  </si>
  <si>
    <r>
      <t xml:space="preserve">NOTE:  </t>
    </r>
    <r>
      <rPr>
        <b/>
        <sz val="8"/>
        <rFont val="Arial"/>
        <family val="2"/>
      </rPr>
      <t xml:space="preserve">If the operation is not a full circle interpolation, simply input into the "Circle Diameter" data cell what the theoretical circle size would be.  EXAMPLE:  A 1.00 inch diameter end mill cuts a 45 degree corner that has a 4.00 inch radius. The circle diameter is the radius X 2, or 8.00 inches.   Whenever </t>
    </r>
    <r>
      <rPr>
        <b/>
        <i/>
        <u/>
        <sz val="8"/>
        <rFont val="Arial"/>
        <family val="2"/>
      </rPr>
      <t>practical</t>
    </r>
    <r>
      <rPr>
        <b/>
        <sz val="8"/>
        <rFont val="Arial"/>
        <family val="2"/>
      </rPr>
      <t>, it is a good idea to have the tool diameter greater than about 1/2 of the radial width of cut on external interpolations.</t>
    </r>
  </si>
  <si>
    <r>
      <t>NOTE:</t>
    </r>
    <r>
      <rPr>
        <b/>
        <sz val="10"/>
        <rFont val="Arial"/>
        <family val="2"/>
      </rPr>
      <t xml:space="preserve">  During internal circle interpolations, the outside diameter of a milling cutter advances faster than the centerline of the tool.  This will produce a thicker chip than the calculated feed rate. (IPT)  During external circle interpolations, the outside diameter of a milling cutter will advance slower than the centerline of the tool.  This will produce a thinner chip than the calculated feed rate. (IPT)  When less than 1/2 of the diameter of the tool is engaged (radial) with the workpiece, there will also be radial chip thinning effects. This calculator solves for both effects.  Enter the cutter diameter, radial width of cut (WOC), the internal or external circle diameter (diameter being produced, </t>
    </r>
    <r>
      <rPr>
        <b/>
        <i/>
        <u/>
        <sz val="10"/>
        <rFont val="Arial"/>
        <family val="2"/>
      </rPr>
      <t>not</t>
    </r>
    <r>
      <rPr>
        <b/>
        <sz val="10"/>
        <rFont val="Arial"/>
        <family val="2"/>
      </rPr>
      <t xml:space="preserve"> starting diameter) and the desired chip load per tooth. (IPT) The calculator will give you the "adjusted" feed rate (IPT) to maintain the desired chip thickness.</t>
    </r>
  </si>
  <si>
    <t>MILLING SPEED &amp; FEED CALCULATOR - INCH to METRIC</t>
  </si>
  <si>
    <t>CUTTER DIAMETER INCHES</t>
  </si>
  <si>
    <t>CUTTING SPEED FEET PER MINUTE</t>
  </si>
  <si>
    <t>CUTTER DIAMETER MILLIMETERS</t>
  </si>
  <si>
    <t>CUTTING SPEED METERS / MINUTE</t>
  </si>
  <si>
    <t>(Z) EFFECTIVE FLUTES</t>
  </si>
  <si>
    <t>FEED RATE INCHES / TOOTH</t>
  </si>
  <si>
    <t>TABLE FEED INCHES / MIN.</t>
  </si>
  <si>
    <t>FEED RATE         MM / TOOTH</t>
  </si>
  <si>
    <t>TABLE FEED      MM / MIN.</t>
  </si>
  <si>
    <t>EQUALS</t>
  </si>
  <si>
    <t>METERS MINUTE</t>
  </si>
  <si>
    <t>INCHES / MINUTE</t>
  </si>
  <si>
    <t>MM / MINUTE</t>
  </si>
  <si>
    <t>MILLING SPEED &amp; FEED CALCULATOR - METRIC to INCH</t>
  </si>
  <si>
    <t>METERS/MINUTE</t>
  </si>
  <si>
    <t>MM/ MINUTE</t>
  </si>
  <si>
    <t>INCHES/ MINUTE</t>
  </si>
  <si>
    <t>TURNING SPEED &amp; FEED CALCULATOR - INCH TO METRIC</t>
  </si>
  <si>
    <t>PART DIAMETER INCHES</t>
  </si>
  <si>
    <t>PART DIAMETER MILLIMETERS</t>
  </si>
  <si>
    <t>CUTTING SPEED METERS/MINUTE</t>
  </si>
  <si>
    <t>FEED RATE INCH/REV (IPR)</t>
  </si>
  <si>
    <t>FEED RATE         MM/REV (MMPR)</t>
  </si>
  <si>
    <t>DEPTH OF CUT INCHES (DOC)</t>
  </si>
  <si>
    <t>DEPTH OF CUT/MM (DOC)</t>
  </si>
  <si>
    <t>TURNING SPEED &amp; FEED CALCULATOR - METRIC TO INCH</t>
  </si>
  <si>
    <t>FEED RATE MM/REV (MMPR)</t>
  </si>
  <si>
    <t>FEED RATE         INCHES/REV (IPR)</t>
  </si>
  <si>
    <t>FAHRENHEIT</t>
  </si>
  <si>
    <t>CELSIUS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</si>
</sst>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00"/>
    <numFmt numFmtId="166" formatCode="0.0000"/>
    <numFmt numFmtId="167" formatCode="0.00000000"/>
    <numFmt numFmtId="168" formatCode="0.0000000"/>
    <numFmt numFmtId="169" formatCode="#,##0.0000"/>
    <numFmt numFmtId="170" formatCode="0.0000000000"/>
    <numFmt numFmtId="171" formatCode="0.00000"/>
    <numFmt numFmtId="172" formatCode="0.000000"/>
  </numFmts>
  <fonts count="48" x14ac:knownFonts="1">
    <font>
      <sz val="10"/>
      <name val="Arial"/>
    </font>
    <font>
      <sz val="10"/>
      <name val="Arial"/>
    </font>
    <font>
      <u/>
      <sz val="10"/>
      <color indexed="12"/>
      <name val="Arial"/>
    </font>
    <font>
      <b/>
      <sz val="24"/>
      <name val="Arial"/>
      <family val="2"/>
    </font>
    <font>
      <b/>
      <u/>
      <sz val="9"/>
      <color indexed="10"/>
      <name val="Arial"/>
      <family val="2"/>
    </font>
    <font>
      <b/>
      <u/>
      <sz val="8"/>
      <color indexed="10"/>
      <name val="Arial"/>
      <family val="2"/>
    </font>
    <font>
      <sz val="10"/>
      <color indexed="10"/>
      <name val="Arial"/>
    </font>
    <font>
      <sz val="24"/>
      <name val="Arial"/>
      <family val="2"/>
    </font>
    <font>
      <b/>
      <sz val="10"/>
      <name val="Arial"/>
      <family val="2"/>
    </font>
    <font>
      <sz val="10"/>
      <name val="Arial"/>
      <family val="2"/>
    </font>
    <font>
      <b/>
      <sz val="14"/>
      <name val="Arial"/>
      <family val="2"/>
    </font>
    <font>
      <b/>
      <sz val="11"/>
      <name val="Arial"/>
      <family val="2"/>
    </font>
    <font>
      <b/>
      <sz val="12"/>
      <name val="Arial"/>
      <family val="2"/>
    </font>
    <font>
      <sz val="11"/>
      <name val="Arial"/>
      <family val="2"/>
    </font>
    <font>
      <sz val="12"/>
      <name val="Arial"/>
      <family val="2"/>
    </font>
    <font>
      <b/>
      <sz val="16"/>
      <name val="Arial"/>
      <family val="2"/>
    </font>
    <font>
      <b/>
      <sz val="10"/>
      <color indexed="10"/>
      <name val="Arial"/>
      <family val="2"/>
    </font>
    <font>
      <b/>
      <sz val="18"/>
      <name val="Arial"/>
      <family val="2"/>
    </font>
    <font>
      <sz val="18"/>
      <name val="Arial"/>
      <family val="2"/>
    </font>
    <font>
      <b/>
      <sz val="20"/>
      <name val="Arial"/>
      <family val="2"/>
    </font>
    <font>
      <b/>
      <sz val="18"/>
      <color indexed="48"/>
      <name val="Arial"/>
      <family val="2"/>
    </font>
    <font>
      <b/>
      <sz val="18"/>
      <color indexed="10"/>
      <name val="Arial"/>
      <family val="2"/>
    </font>
    <font>
      <sz val="14"/>
      <name val="Arial"/>
      <family val="2"/>
    </font>
    <font>
      <b/>
      <sz val="28"/>
      <name val="Arial"/>
      <family val="2"/>
    </font>
    <font>
      <b/>
      <sz val="36"/>
      <name val="Arial"/>
      <family val="2"/>
    </font>
    <font>
      <sz val="36"/>
      <name val="Arial"/>
      <family val="2"/>
    </font>
    <font>
      <b/>
      <sz val="14"/>
      <color indexed="10"/>
      <name val="Arial"/>
      <family val="2"/>
    </font>
    <font>
      <b/>
      <sz val="10"/>
      <name val="Arial"/>
    </font>
    <font>
      <b/>
      <sz val="10"/>
      <color indexed="53"/>
      <name val="Arial"/>
      <family val="2"/>
    </font>
    <font>
      <sz val="8"/>
      <name val="Arial"/>
    </font>
    <font>
      <b/>
      <sz val="22"/>
      <color indexed="8"/>
      <name val="Arial"/>
      <family val="2"/>
    </font>
    <font>
      <sz val="22"/>
      <color indexed="8"/>
      <name val="Arial"/>
      <family val="2"/>
    </font>
    <font>
      <b/>
      <sz val="9"/>
      <name val="Arial"/>
      <family val="2"/>
    </font>
    <font>
      <b/>
      <sz val="8"/>
      <name val="Arial"/>
      <family val="2"/>
    </font>
    <font>
      <sz val="8"/>
      <name val="Arial"/>
      <family val="2"/>
    </font>
    <font>
      <sz val="9"/>
      <name val="Arial"/>
      <family val="2"/>
    </font>
    <font>
      <b/>
      <sz val="10"/>
      <color indexed="8"/>
      <name val="Arial"/>
      <family val="2"/>
    </font>
    <font>
      <b/>
      <sz val="9"/>
      <color indexed="10"/>
      <name val="Arial"/>
      <family val="2"/>
    </font>
    <font>
      <b/>
      <sz val="9"/>
      <color indexed="53"/>
      <name val="Arial"/>
      <family val="2"/>
    </font>
    <font>
      <b/>
      <sz val="8"/>
      <name val="Arial"/>
    </font>
    <font>
      <b/>
      <sz val="16"/>
      <color indexed="10"/>
      <name val="Arial"/>
      <family val="2"/>
    </font>
    <font>
      <b/>
      <sz val="24"/>
      <name val="Arial"/>
    </font>
    <font>
      <b/>
      <u/>
      <sz val="10"/>
      <name val="Arial"/>
      <family val="2"/>
    </font>
    <font>
      <b/>
      <sz val="22"/>
      <name val="Arial"/>
    </font>
    <font>
      <b/>
      <i/>
      <u/>
      <sz val="10"/>
      <name val="Arial"/>
      <family val="2"/>
    </font>
    <font>
      <b/>
      <sz val="10"/>
      <color indexed="10"/>
      <name val="Arial"/>
    </font>
    <font>
      <b/>
      <i/>
      <u/>
      <sz val="8"/>
      <name val="Arial"/>
      <family val="2"/>
    </font>
    <font>
      <b/>
      <sz val="18"/>
      <name val="Arial"/>
    </font>
  </fonts>
  <fills count="13">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9"/>
        <bgColor indexed="64"/>
      </patternFill>
    </fill>
    <fill>
      <patternFill patternType="solid">
        <fgColor indexed="22"/>
        <bgColor indexed="64"/>
      </patternFill>
    </fill>
    <fill>
      <patternFill patternType="lightTrellis">
        <bgColor indexed="41"/>
      </patternFill>
    </fill>
    <fill>
      <patternFill patternType="solid">
        <fgColor indexed="43"/>
        <bgColor indexed="64"/>
      </patternFill>
    </fill>
    <fill>
      <patternFill patternType="lightTrellis">
        <bgColor indexed="49"/>
      </patternFill>
    </fill>
    <fill>
      <patternFill patternType="solid">
        <fgColor indexed="47"/>
        <bgColor indexed="64"/>
      </patternFill>
    </fill>
    <fill>
      <patternFill patternType="solid">
        <fgColor indexed="9"/>
        <bgColor indexed="9"/>
      </patternFill>
    </fill>
    <fill>
      <patternFill patternType="solid">
        <fgColor indexed="44"/>
        <bgColor indexed="64"/>
      </patternFill>
    </fill>
    <fill>
      <patternFill patternType="lightTrellis">
        <bgColor indexed="22"/>
      </patternFill>
    </fill>
  </fills>
  <borders count="121">
    <border>
      <left/>
      <right/>
      <top/>
      <bottom/>
      <diagonal/>
    </border>
    <border>
      <left/>
      <right/>
      <top style="medium">
        <color indexed="64"/>
      </top>
      <bottom style="double">
        <color indexed="53"/>
      </bottom>
      <diagonal/>
    </border>
    <border>
      <left/>
      <right style="thick">
        <color indexed="64"/>
      </right>
      <top style="medium">
        <color indexed="64"/>
      </top>
      <bottom style="double">
        <color indexed="53"/>
      </bottom>
      <diagonal/>
    </border>
    <border>
      <left style="thick">
        <color indexed="64"/>
      </left>
      <right/>
      <top/>
      <bottom/>
      <diagonal/>
    </border>
    <border>
      <left/>
      <right style="thick">
        <color indexed="64"/>
      </right>
      <top/>
      <bottom/>
      <diagonal/>
    </border>
    <border>
      <left/>
      <right/>
      <top style="double">
        <color indexed="10"/>
      </top>
      <bottom/>
      <diagonal/>
    </border>
    <border>
      <left/>
      <right style="thick">
        <color indexed="64"/>
      </right>
      <top style="double">
        <color indexed="10"/>
      </top>
      <bottom/>
      <diagonal/>
    </border>
    <border>
      <left/>
      <right/>
      <top/>
      <bottom style="double">
        <color indexed="10"/>
      </bottom>
      <diagonal/>
    </border>
    <border>
      <left/>
      <right style="thick">
        <color indexed="64"/>
      </right>
      <top/>
      <bottom style="double">
        <color indexed="10"/>
      </bottom>
      <diagonal/>
    </border>
    <border>
      <left style="thick">
        <color indexed="64"/>
      </left>
      <right/>
      <top/>
      <bottom style="double">
        <color indexed="10"/>
      </bottom>
      <diagonal/>
    </border>
    <border>
      <left/>
      <right/>
      <top/>
      <bottom style="thin">
        <color indexed="64"/>
      </bottom>
      <diagonal/>
    </border>
    <border>
      <left/>
      <right style="thick">
        <color indexed="64"/>
      </right>
      <top/>
      <bottom style="thin">
        <color indexed="64"/>
      </bottom>
      <diagonal/>
    </border>
    <border>
      <left style="double">
        <color indexed="10"/>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double">
        <color indexed="10"/>
      </top>
      <bottom style="double">
        <color indexed="10"/>
      </bottom>
      <diagonal/>
    </border>
    <border>
      <left style="double">
        <color indexed="10"/>
      </left>
      <right style="double">
        <color indexed="10"/>
      </right>
      <top style="double">
        <color indexed="10"/>
      </top>
      <bottom style="double">
        <color indexed="10"/>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thick">
        <color indexed="64"/>
      </right>
      <top style="medium">
        <color indexed="64"/>
      </top>
      <bottom/>
      <diagonal/>
    </border>
    <border>
      <left style="medium">
        <color indexed="64"/>
      </left>
      <right style="thick">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ck">
        <color indexed="64"/>
      </bottom>
      <diagonal/>
    </border>
    <border>
      <left style="thick">
        <color indexed="64"/>
      </left>
      <right/>
      <top style="double">
        <color indexed="10"/>
      </top>
      <bottom style="double">
        <color indexed="10"/>
      </bottom>
      <diagonal/>
    </border>
    <border>
      <left/>
      <right style="thick">
        <color indexed="64"/>
      </right>
      <top style="double">
        <color indexed="10"/>
      </top>
      <bottom style="double">
        <color indexed="10"/>
      </bottom>
      <diagonal/>
    </border>
    <border>
      <left style="double">
        <color indexed="53"/>
      </left>
      <right/>
      <top style="double">
        <color indexed="53"/>
      </top>
      <bottom style="double">
        <color indexed="53"/>
      </bottom>
      <diagonal/>
    </border>
    <border>
      <left/>
      <right/>
      <top style="double">
        <color indexed="53"/>
      </top>
      <bottom style="double">
        <color indexed="53"/>
      </bottom>
      <diagonal/>
    </border>
    <border>
      <left/>
      <right style="double">
        <color indexed="53"/>
      </right>
      <top style="double">
        <color indexed="53"/>
      </top>
      <bottom style="double">
        <color indexed="53"/>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style="double">
        <color indexed="53"/>
      </top>
      <bottom style="double">
        <color indexed="53"/>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top style="double">
        <color indexed="53"/>
      </top>
      <bottom/>
      <diagonal/>
    </border>
    <border>
      <left/>
      <right/>
      <top style="double">
        <color indexed="53"/>
      </top>
      <bottom/>
      <diagonal/>
    </border>
    <border>
      <left/>
      <right style="thick">
        <color indexed="64"/>
      </right>
      <top style="double">
        <color indexed="53"/>
      </top>
      <bottom/>
      <diagonal/>
    </border>
    <border>
      <left style="thick">
        <color indexed="64"/>
      </left>
      <right/>
      <top/>
      <bottom style="double">
        <color indexed="53"/>
      </bottom>
      <diagonal/>
    </border>
    <border>
      <left/>
      <right/>
      <top/>
      <bottom style="double">
        <color indexed="53"/>
      </bottom>
      <diagonal/>
    </border>
    <border>
      <left/>
      <right style="thick">
        <color indexed="64"/>
      </right>
      <top/>
      <bottom style="double">
        <color indexed="53"/>
      </bottom>
      <diagonal/>
    </border>
    <border>
      <left style="thick">
        <color indexed="64"/>
      </left>
      <right/>
      <top style="double">
        <color indexed="10"/>
      </top>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medium">
        <color indexed="64"/>
      </top>
      <bottom/>
      <diagonal/>
    </border>
    <border>
      <left/>
      <right style="medium">
        <color indexed="64"/>
      </right>
      <top/>
      <bottom style="double">
        <color indexed="10"/>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thick">
        <color indexed="64"/>
      </right>
      <top/>
      <bottom style="double">
        <color indexed="10"/>
      </bottom>
      <diagonal/>
    </border>
    <border>
      <left/>
      <right style="medium">
        <color indexed="64"/>
      </right>
      <top style="thick">
        <color indexed="64"/>
      </top>
      <bottom/>
      <diagonal/>
    </border>
    <border>
      <left style="thick">
        <color indexed="64"/>
      </left>
      <right/>
      <top/>
      <bottom style="medium">
        <color indexed="64"/>
      </bottom>
      <diagonal/>
    </border>
    <border>
      <left style="medium">
        <color indexed="64"/>
      </left>
      <right/>
      <top style="thick">
        <color indexed="64"/>
      </top>
      <bottom/>
      <diagonal/>
    </border>
    <border>
      <left/>
      <right style="double">
        <color indexed="10"/>
      </right>
      <top style="double">
        <color indexed="10"/>
      </top>
      <bottom style="double">
        <color indexed="10"/>
      </bottom>
      <diagonal/>
    </border>
    <border>
      <left style="double">
        <color indexed="10"/>
      </left>
      <right/>
      <top style="double">
        <color indexed="10"/>
      </top>
      <bottom style="double">
        <color indexed="10"/>
      </bottom>
      <diagonal/>
    </border>
    <border>
      <left style="thick">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style="medium">
        <color indexed="64"/>
      </left>
      <right style="thick">
        <color indexed="64"/>
      </right>
      <top style="thick">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top style="double">
        <color indexed="10"/>
      </top>
      <bottom/>
      <diagonal/>
    </border>
    <border>
      <left/>
      <right style="medium">
        <color indexed="64"/>
      </right>
      <top style="double">
        <color indexed="10"/>
      </top>
      <bottom/>
      <diagonal/>
    </border>
    <border>
      <left style="medium">
        <color indexed="64"/>
      </left>
      <right/>
      <top/>
      <bottom style="double">
        <color indexed="1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style="thick">
        <color indexed="64"/>
      </top>
      <bottom style="double">
        <color indexed="10"/>
      </bottom>
      <diagonal/>
    </border>
    <border>
      <left/>
      <right/>
      <top style="thick">
        <color indexed="64"/>
      </top>
      <bottom style="double">
        <color indexed="10"/>
      </bottom>
      <diagonal/>
    </border>
    <border>
      <left/>
      <right style="thick">
        <color indexed="64"/>
      </right>
      <top style="thick">
        <color indexed="64"/>
      </top>
      <bottom style="double">
        <color indexed="10"/>
      </bottom>
      <diagonal/>
    </border>
    <border>
      <left style="medium">
        <color indexed="64"/>
      </left>
      <right/>
      <top style="medium">
        <color indexed="64"/>
      </top>
      <bottom style="double">
        <color indexed="53"/>
      </bottom>
      <diagonal/>
    </border>
    <border>
      <left/>
      <right style="medium">
        <color indexed="64"/>
      </right>
      <top style="medium">
        <color indexed="64"/>
      </top>
      <bottom style="double">
        <color indexed="53"/>
      </bottom>
      <diagonal/>
    </border>
    <border diagonalUp="1" diagonalDown="1">
      <left style="thin">
        <color indexed="64"/>
      </left>
      <right/>
      <top style="thin">
        <color indexed="64"/>
      </top>
      <bottom/>
      <diagonal style="thin">
        <color indexed="64"/>
      </diagonal>
    </border>
    <border diagonalUp="1" diagonalDown="1">
      <left/>
      <right style="thick">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style="thick">
        <color indexed="64"/>
      </right>
      <top/>
      <bottom style="thin">
        <color indexed="64"/>
      </bottom>
      <diagonal style="thin">
        <color indexed="64"/>
      </diagonal>
    </border>
    <border>
      <left style="thin">
        <color indexed="64"/>
      </left>
      <right/>
      <top style="double">
        <color indexed="10"/>
      </top>
      <bottom/>
      <diagonal/>
    </border>
    <border>
      <left/>
      <right style="double">
        <color indexed="10"/>
      </right>
      <top style="double">
        <color indexed="10"/>
      </top>
      <bottom/>
      <diagonal/>
    </border>
    <border>
      <left style="thin">
        <color indexed="64"/>
      </left>
      <right/>
      <top/>
      <bottom/>
      <diagonal/>
    </border>
    <border>
      <left/>
      <right style="double">
        <color indexed="10"/>
      </right>
      <top/>
      <bottom/>
      <diagonal/>
    </border>
    <border>
      <left style="thin">
        <color indexed="64"/>
      </left>
      <right/>
      <top/>
      <bottom style="double">
        <color indexed="10"/>
      </bottom>
      <diagonal/>
    </border>
    <border>
      <left/>
      <right style="double">
        <color indexed="10"/>
      </right>
      <top/>
      <bottom style="double">
        <color indexed="10"/>
      </bottom>
      <diagonal/>
    </border>
    <border>
      <left style="thin">
        <color indexed="64"/>
      </left>
      <right style="thin">
        <color indexed="64"/>
      </right>
      <top style="double">
        <color indexed="10"/>
      </top>
      <bottom/>
      <diagonal/>
    </border>
    <border>
      <left style="thin">
        <color indexed="64"/>
      </left>
      <right style="thin">
        <color indexed="64"/>
      </right>
      <top/>
      <bottom/>
      <diagonal/>
    </border>
    <border>
      <left style="thin">
        <color indexed="64"/>
      </left>
      <right style="thin">
        <color indexed="64"/>
      </right>
      <top/>
      <bottom style="double">
        <color indexed="10"/>
      </bottom>
      <diagonal/>
    </border>
    <border>
      <left/>
      <right style="thin">
        <color indexed="64"/>
      </right>
      <top/>
      <bottom/>
      <diagonal/>
    </border>
    <border>
      <left style="double">
        <color indexed="53"/>
      </left>
      <right/>
      <top style="double">
        <color indexed="53"/>
      </top>
      <bottom/>
      <diagonal/>
    </border>
    <border>
      <left/>
      <right style="double">
        <color indexed="53"/>
      </right>
      <top style="double">
        <color indexed="53"/>
      </top>
      <bottom/>
      <diagonal/>
    </border>
    <border>
      <left style="double">
        <color indexed="53"/>
      </left>
      <right/>
      <top/>
      <bottom/>
      <diagonal/>
    </border>
    <border>
      <left/>
      <right style="double">
        <color indexed="53"/>
      </right>
      <top/>
      <bottom/>
      <diagonal/>
    </border>
    <border>
      <left style="double">
        <color indexed="53"/>
      </left>
      <right/>
      <top/>
      <bottom style="double">
        <color indexed="53"/>
      </bottom>
      <diagonal/>
    </border>
    <border>
      <left/>
      <right style="double">
        <color indexed="53"/>
      </right>
      <top/>
      <bottom style="double">
        <color indexed="53"/>
      </bottom>
      <diagonal/>
    </border>
    <border diagonalUp="1" diagonalDown="1">
      <left/>
      <right style="thin">
        <color indexed="64"/>
      </right>
      <top style="thin">
        <color indexed="64"/>
      </top>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style="medium">
        <color indexed="64"/>
      </right>
      <top/>
      <bottom/>
      <diagonal/>
    </border>
    <border>
      <left style="thick">
        <color indexed="64"/>
      </left>
      <right/>
      <top style="medium">
        <color indexed="64"/>
      </top>
      <bottom style="double">
        <color indexed="53"/>
      </bottom>
      <diagonal/>
    </border>
  </borders>
  <cellStyleXfs count="2">
    <xf numFmtId="0" fontId="0" fillId="0" borderId="0"/>
    <xf numFmtId="0" fontId="2" fillId="0" borderId="0" applyNumberFormat="0" applyFill="0" applyBorder="0" applyAlignment="0" applyProtection="0">
      <alignment vertical="top"/>
      <protection locked="0"/>
    </xf>
  </cellStyleXfs>
  <cellXfs count="816">
    <xf numFmtId="0" fontId="0" fillId="0" borderId="0" xfId="0"/>
    <xf numFmtId="0" fontId="4" fillId="2" borderId="0" xfId="1" applyFont="1" applyFill="1" applyBorder="1" applyAlignment="1" applyProtection="1">
      <alignment horizontal="center" vertical="center" wrapText="1"/>
      <protection hidden="1"/>
    </xf>
    <xf numFmtId="0" fontId="0" fillId="3" borderId="1" xfId="0" applyFill="1" applyBorder="1" applyProtection="1">
      <protection hidden="1"/>
    </xf>
    <xf numFmtId="0" fontId="0" fillId="3" borderId="2" xfId="0" applyFill="1" applyBorder="1" applyProtection="1">
      <protection hidden="1"/>
    </xf>
    <xf numFmtId="0" fontId="0" fillId="4" borderId="3" xfId="0" applyFill="1" applyBorder="1" applyProtection="1">
      <protection hidden="1"/>
    </xf>
    <xf numFmtId="0" fontId="0" fillId="4" borderId="0" xfId="0" applyFill="1" applyBorder="1" applyProtection="1">
      <protection hidden="1"/>
    </xf>
    <xf numFmtId="0" fontId="6" fillId="4" borderId="0" xfId="0" applyFont="1" applyFill="1" applyBorder="1" applyProtection="1">
      <protection hidden="1"/>
    </xf>
    <xf numFmtId="0" fontId="0" fillId="4" borderId="4" xfId="0" applyFill="1" applyBorder="1" applyProtection="1">
      <protection hidden="1"/>
    </xf>
    <xf numFmtId="0" fontId="0" fillId="4" borderId="3" xfId="0" applyFill="1" applyBorder="1" applyAlignment="1" applyProtection="1">
      <alignment horizontal="center"/>
      <protection hidden="1"/>
    </xf>
    <xf numFmtId="0" fontId="0" fillId="4" borderId="0" xfId="0" applyFill="1" applyBorder="1" applyAlignment="1" applyProtection="1">
      <alignment horizontal="center"/>
      <protection hidden="1"/>
    </xf>
    <xf numFmtId="0" fontId="0" fillId="4" borderId="4" xfId="0" applyFill="1" applyBorder="1" applyAlignment="1" applyProtection="1">
      <alignment horizontal="center"/>
      <protection hidden="1"/>
    </xf>
    <xf numFmtId="0" fontId="7" fillId="5" borderId="3" xfId="0" applyFont="1" applyFill="1" applyBorder="1" applyAlignment="1" applyProtection="1">
      <alignment horizontal="center" vertical="center" wrapText="1"/>
      <protection hidden="1"/>
    </xf>
    <xf numFmtId="0" fontId="7" fillId="5" borderId="0" xfId="0" applyFont="1" applyFill="1" applyBorder="1" applyAlignment="1" applyProtection="1">
      <alignment horizontal="center" vertical="center" wrapText="1"/>
      <protection hidden="1"/>
    </xf>
    <xf numFmtId="0" fontId="7" fillId="5" borderId="4" xfId="0" applyFont="1" applyFill="1" applyBorder="1" applyAlignment="1" applyProtection="1">
      <alignment horizontal="center" vertical="center" wrapText="1"/>
      <protection hidden="1"/>
    </xf>
    <xf numFmtId="0" fontId="0" fillId="5" borderId="3" xfId="0" applyFill="1" applyBorder="1" applyProtection="1">
      <protection hidden="1"/>
    </xf>
    <xf numFmtId="0" fontId="0" fillId="5" borderId="0" xfId="0" applyFill="1" applyBorder="1" applyProtection="1">
      <protection hidden="1"/>
    </xf>
    <xf numFmtId="0" fontId="0" fillId="5" borderId="4" xfId="0" applyFill="1" applyBorder="1" applyProtection="1">
      <protection hidden="1"/>
    </xf>
    <xf numFmtId="0" fontId="10" fillId="5" borderId="3" xfId="0" applyFont="1" applyFill="1" applyBorder="1" applyAlignment="1" applyProtection="1">
      <alignment horizontal="center"/>
      <protection hidden="1"/>
    </xf>
    <xf numFmtId="0" fontId="10" fillId="5" borderId="0" xfId="0" applyFont="1" applyFill="1" applyBorder="1" applyProtection="1">
      <protection hidden="1"/>
    </xf>
    <xf numFmtId="0" fontId="10" fillId="5" borderId="4" xfId="0" applyFont="1" applyFill="1" applyBorder="1" applyProtection="1">
      <protection hidden="1"/>
    </xf>
    <xf numFmtId="0" fontId="10" fillId="5" borderId="3" xfId="0" applyFont="1" applyFill="1" applyBorder="1" applyProtection="1">
      <protection hidden="1"/>
    </xf>
    <xf numFmtId="0" fontId="12" fillId="5" borderId="0" xfId="0" applyFont="1" applyFill="1" applyBorder="1" applyProtection="1">
      <protection hidden="1"/>
    </xf>
    <xf numFmtId="0" fontId="12" fillId="5" borderId="5" xfId="0" applyFont="1" applyFill="1" applyBorder="1" applyProtection="1">
      <protection hidden="1"/>
    </xf>
    <xf numFmtId="0" fontId="10" fillId="5" borderId="6" xfId="0" applyFont="1" applyFill="1" applyBorder="1" applyAlignment="1" applyProtection="1">
      <alignment horizontal="center" vertical="center"/>
      <protection hidden="1"/>
    </xf>
    <xf numFmtId="0" fontId="12" fillId="5" borderId="0" xfId="0" applyFont="1" applyFill="1" applyBorder="1" applyAlignment="1" applyProtection="1">
      <alignment horizontal="center" vertical="center"/>
      <protection hidden="1"/>
    </xf>
    <xf numFmtId="0" fontId="10" fillId="5" borderId="4" xfId="0" applyFont="1" applyFill="1" applyBorder="1" applyAlignment="1" applyProtection="1">
      <alignment horizontal="center" vertical="center"/>
      <protection hidden="1"/>
    </xf>
    <xf numFmtId="0" fontId="15" fillId="5" borderId="0" xfId="0" applyFont="1" applyFill="1" applyBorder="1" applyProtection="1">
      <protection hidden="1"/>
    </xf>
    <xf numFmtId="0" fontId="15" fillId="5" borderId="7" xfId="0" applyFont="1" applyFill="1" applyBorder="1" applyProtection="1">
      <protection hidden="1"/>
    </xf>
    <xf numFmtId="0" fontId="10" fillId="5" borderId="8" xfId="0" applyFont="1" applyFill="1" applyBorder="1" applyProtection="1">
      <protection hidden="1"/>
    </xf>
    <xf numFmtId="0" fontId="0" fillId="3" borderId="9" xfId="0" applyFill="1" applyBorder="1" applyAlignment="1"/>
    <xf numFmtId="0" fontId="0" fillId="3" borderId="7" xfId="0" applyFill="1" applyBorder="1" applyAlignment="1"/>
    <xf numFmtId="0" fontId="0" fillId="3" borderId="7" xfId="0" applyFill="1" applyBorder="1" applyAlignment="1" applyProtection="1">
      <protection locked="0" hidden="1"/>
    </xf>
    <xf numFmtId="0" fontId="0" fillId="3" borderId="8" xfId="0" applyFill="1" applyBorder="1" applyAlignment="1"/>
    <xf numFmtId="0" fontId="19" fillId="5" borderId="10" xfId="0" applyFont="1" applyFill="1" applyBorder="1" applyAlignment="1" applyProtection="1">
      <alignment horizontal="center" vertical="center"/>
      <protection hidden="1"/>
    </xf>
    <xf numFmtId="0" fontId="19" fillId="5" borderId="11" xfId="0" applyFont="1" applyFill="1" applyBorder="1" applyAlignment="1" applyProtection="1">
      <alignment horizontal="center" vertical="center"/>
      <protection hidden="1"/>
    </xf>
    <xf numFmtId="167" fontId="0" fillId="0" borderId="0" xfId="0" applyNumberFormat="1"/>
    <xf numFmtId="168" fontId="0" fillId="0" borderId="0" xfId="0" applyNumberFormat="1"/>
    <xf numFmtId="0" fontId="0" fillId="5" borderId="3" xfId="0" applyFill="1" applyBorder="1" applyAlignment="1" applyProtection="1">
      <protection hidden="1"/>
    </xf>
    <xf numFmtId="0" fontId="0" fillId="5" borderId="0" xfId="0" applyFill="1" applyBorder="1" applyAlignment="1" applyProtection="1">
      <protection hidden="1"/>
    </xf>
    <xf numFmtId="0" fontId="0" fillId="5" borderId="4" xfId="0" applyFill="1" applyBorder="1" applyAlignment="1" applyProtection="1">
      <protection hidden="1"/>
    </xf>
    <xf numFmtId="170" fontId="22" fillId="5" borderId="12" xfId="0" applyNumberFormat="1" applyFont="1" applyFill="1" applyBorder="1" applyAlignment="1" applyProtection="1">
      <alignment horizontal="center" vertical="center"/>
      <protection hidden="1"/>
    </xf>
    <xf numFmtId="0" fontId="0" fillId="5" borderId="12" xfId="0" applyFill="1" applyBorder="1" applyAlignment="1" applyProtection="1">
      <protection hidden="1"/>
    </xf>
    <xf numFmtId="0" fontId="0" fillId="5" borderId="13" xfId="0" applyFill="1" applyBorder="1" applyAlignment="1" applyProtection="1">
      <protection hidden="1"/>
    </xf>
    <xf numFmtId="0" fontId="0" fillId="5" borderId="14" xfId="0" applyFill="1" applyBorder="1" applyAlignment="1" applyProtection="1">
      <protection hidden="1"/>
    </xf>
    <xf numFmtId="0" fontId="0" fillId="5" borderId="15" xfId="0" applyFill="1" applyBorder="1" applyAlignment="1" applyProtection="1">
      <protection hidden="1"/>
    </xf>
    <xf numFmtId="0" fontId="0" fillId="0" borderId="0" xfId="0" applyProtection="1">
      <protection hidden="1"/>
    </xf>
    <xf numFmtId="0" fontId="0" fillId="5" borderId="3" xfId="0" applyFill="1" applyBorder="1" applyAlignment="1">
      <alignment horizontal="center" vertical="center"/>
    </xf>
    <xf numFmtId="0" fontId="0" fillId="5" borderId="0" xfId="0" applyFill="1" applyBorder="1" applyAlignment="1">
      <alignment horizontal="center" vertical="center"/>
    </xf>
    <xf numFmtId="0" fontId="0" fillId="5" borderId="4" xfId="0" applyFill="1" applyBorder="1" applyAlignment="1">
      <alignment horizontal="center" vertical="center"/>
    </xf>
    <xf numFmtId="0" fontId="8" fillId="5" borderId="3" xfId="0" applyFont="1" applyFill="1" applyBorder="1" applyAlignment="1">
      <alignment horizontal="center" vertical="center"/>
    </xf>
    <xf numFmtId="0" fontId="8" fillId="5" borderId="0" xfId="0" applyFont="1" applyFill="1" applyBorder="1" applyAlignment="1">
      <alignment horizontal="center" vertical="center"/>
    </xf>
    <xf numFmtId="0" fontId="8" fillId="5" borderId="4" xfId="0" applyFont="1" applyFill="1" applyBorder="1" applyAlignment="1">
      <alignment horizontal="center" vertical="center"/>
    </xf>
    <xf numFmtId="0" fontId="22" fillId="5" borderId="0" xfId="0" applyFont="1" applyFill="1" applyBorder="1" applyAlignment="1">
      <alignment horizontal="center" vertical="center"/>
    </xf>
    <xf numFmtId="0" fontId="0" fillId="0" borderId="16" xfId="0" applyBorder="1"/>
    <xf numFmtId="0" fontId="0" fillId="0" borderId="17" xfId="0" applyBorder="1"/>
    <xf numFmtId="0" fontId="0" fillId="5" borderId="13" xfId="0" applyFill="1" applyBorder="1" applyAlignment="1">
      <alignment horizontal="center" vertical="center"/>
    </xf>
    <xf numFmtId="0" fontId="0" fillId="5" borderId="14" xfId="0" applyFill="1" applyBorder="1" applyAlignment="1">
      <alignment horizontal="center" vertical="center"/>
    </xf>
    <xf numFmtId="0" fontId="0" fillId="5" borderId="15" xfId="0" applyFill="1" applyBorder="1" applyAlignment="1">
      <alignment horizontal="center" vertical="center"/>
    </xf>
    <xf numFmtId="0" fontId="0" fillId="0" borderId="0" xfId="0" applyAlignment="1">
      <alignment horizontal="center" vertical="center"/>
    </xf>
    <xf numFmtId="0" fontId="4" fillId="2" borderId="0" xfId="1" applyFont="1" applyFill="1" applyBorder="1" applyAlignment="1" applyProtection="1">
      <alignment horizontal="center" vertical="center" wrapText="1"/>
    </xf>
    <xf numFmtId="0" fontId="4" fillId="2" borderId="7" xfId="1" applyFont="1" applyFill="1" applyBorder="1" applyAlignment="1" applyProtection="1">
      <alignment horizontal="center" vertical="center" wrapText="1"/>
    </xf>
    <xf numFmtId="0" fontId="4" fillId="2" borderId="7" xfId="1" applyFont="1" applyFill="1" applyBorder="1" applyAlignment="1" applyProtection="1">
      <alignment horizontal="center" vertical="center" wrapText="1"/>
      <protection hidden="1"/>
    </xf>
    <xf numFmtId="0" fontId="0" fillId="5" borderId="9" xfId="0" applyFill="1" applyBorder="1" applyProtection="1">
      <protection hidden="1"/>
    </xf>
    <xf numFmtId="0" fontId="0" fillId="5" borderId="7" xfId="0" applyFill="1" applyBorder="1" applyProtection="1">
      <protection hidden="1"/>
    </xf>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0" xfId="0" applyBorder="1" applyAlignment="1">
      <alignment horizontal="center"/>
    </xf>
    <xf numFmtId="0" fontId="0" fillId="0" borderId="0" xfId="0" applyBorder="1"/>
    <xf numFmtId="0" fontId="0" fillId="0" borderId="18" xfId="0" applyBorder="1" applyAlignment="1">
      <alignment horizontal="center"/>
    </xf>
    <xf numFmtId="0" fontId="0" fillId="0" borderId="22" xfId="0" applyBorder="1" applyAlignment="1">
      <alignment horizontal="center" vertical="center"/>
    </xf>
    <xf numFmtId="0" fontId="0" fillId="0" borderId="23" xfId="0" applyBorder="1" applyAlignment="1">
      <alignment horizontal="center" vertical="center"/>
    </xf>
    <xf numFmtId="0" fontId="8" fillId="5" borderId="3" xfId="0" applyFont="1" applyFill="1" applyBorder="1" applyProtection="1">
      <protection hidden="1"/>
    </xf>
    <xf numFmtId="0" fontId="8" fillId="5" borderId="0" xfId="0" applyFont="1" applyFill="1" applyBorder="1" applyProtection="1">
      <protection hidden="1"/>
    </xf>
    <xf numFmtId="0" fontId="8" fillId="5" borderId="4" xfId="0" applyFont="1" applyFill="1" applyBorder="1" applyProtection="1">
      <protection hidden="1"/>
    </xf>
    <xf numFmtId="0" fontId="0" fillId="0" borderId="24" xfId="0" applyBorder="1"/>
    <xf numFmtId="0" fontId="0" fillId="0" borderId="17" xfId="0" applyBorder="1" applyAlignment="1">
      <alignment horizontal="center"/>
    </xf>
    <xf numFmtId="0" fontId="0" fillId="0" borderId="16" xfId="0" applyBorder="1" applyAlignment="1">
      <alignment horizontal="center"/>
    </xf>
    <xf numFmtId="0" fontId="0" fillId="0" borderId="17" xfId="0" applyBorder="1" applyAlignment="1">
      <alignment horizontal="center" vertical="center"/>
    </xf>
    <xf numFmtId="0" fontId="8" fillId="6" borderId="25" xfId="0" applyFont="1" applyFill="1" applyBorder="1" applyProtection="1">
      <protection hidden="1"/>
    </xf>
    <xf numFmtId="0" fontId="8" fillId="6" borderId="26" xfId="0" applyFont="1" applyFill="1" applyBorder="1" applyProtection="1">
      <protection hidden="1"/>
    </xf>
    <xf numFmtId="0" fontId="8" fillId="3" borderId="20" xfId="0" applyFont="1" applyFill="1" applyBorder="1" applyAlignment="1" applyProtection="1">
      <alignment horizontal="center"/>
      <protection hidden="1"/>
    </xf>
    <xf numFmtId="0" fontId="4" fillId="2" borderId="27" xfId="1" applyFont="1" applyFill="1" applyBorder="1" applyAlignment="1" applyProtection="1">
      <alignment horizontal="center" vertical="center"/>
      <protection hidden="1"/>
    </xf>
    <xf numFmtId="0" fontId="8" fillId="3" borderId="28" xfId="0" applyFont="1" applyFill="1" applyBorder="1" applyAlignment="1" applyProtection="1">
      <alignment horizontal="center"/>
      <protection hidden="1"/>
    </xf>
    <xf numFmtId="0" fontId="8" fillId="4" borderId="23" xfId="0" applyFont="1" applyFill="1" applyBorder="1" applyAlignment="1" applyProtection="1">
      <alignment horizontal="center"/>
      <protection locked="0" hidden="1"/>
    </xf>
    <xf numFmtId="0" fontId="8" fillId="6" borderId="18" xfId="0" applyFont="1" applyFill="1" applyBorder="1" applyAlignment="1" applyProtection="1">
      <alignment horizontal="center"/>
      <protection hidden="1"/>
    </xf>
    <xf numFmtId="0" fontId="8" fillId="6" borderId="18" xfId="0" applyFont="1" applyFill="1" applyBorder="1" applyAlignment="1" applyProtection="1">
      <protection hidden="1"/>
    </xf>
    <xf numFmtId="0" fontId="9" fillId="3" borderId="29" xfId="0" applyFont="1" applyFill="1" applyBorder="1" applyAlignment="1" applyProtection="1">
      <alignment horizontal="center"/>
      <protection hidden="1"/>
    </xf>
    <xf numFmtId="172" fontId="0" fillId="0" borderId="24" xfId="0" applyNumberFormat="1" applyBorder="1"/>
    <xf numFmtId="0" fontId="0" fillId="0" borderId="30" xfId="0" applyBorder="1" applyAlignment="1">
      <alignment horizontal="center" vertical="center"/>
    </xf>
    <xf numFmtId="0" fontId="0" fillId="0" borderId="31" xfId="0" applyBorder="1" applyAlignment="1">
      <alignment horizontal="center"/>
    </xf>
    <xf numFmtId="165" fontId="8" fillId="4" borderId="18" xfId="0" applyNumberFormat="1" applyFont="1" applyFill="1" applyBorder="1" applyAlignment="1" applyProtection="1">
      <alignment horizontal="center"/>
      <protection locked="0" hidden="1"/>
    </xf>
    <xf numFmtId="0" fontId="8" fillId="6" borderId="31" xfId="0" applyFont="1" applyFill="1" applyBorder="1" applyProtection="1">
      <protection hidden="1"/>
    </xf>
    <xf numFmtId="0" fontId="8" fillId="6" borderId="32" xfId="0" applyFont="1" applyFill="1" applyBorder="1" applyProtection="1">
      <protection hidden="1"/>
    </xf>
    <xf numFmtId="0" fontId="8" fillId="6" borderId="18" xfId="0" applyFont="1" applyFill="1" applyBorder="1" applyProtection="1">
      <protection hidden="1"/>
    </xf>
    <xf numFmtId="0" fontId="8" fillId="4" borderId="29" xfId="0" applyFont="1" applyFill="1" applyBorder="1" applyAlignment="1" applyProtection="1">
      <alignment horizontal="center"/>
      <protection locked="0" hidden="1"/>
    </xf>
    <xf numFmtId="0" fontId="8" fillId="5" borderId="16" xfId="0" applyFont="1" applyFill="1" applyBorder="1" applyProtection="1">
      <protection hidden="1"/>
    </xf>
    <xf numFmtId="0" fontId="8" fillId="6" borderId="22" xfId="0" applyFont="1" applyFill="1" applyBorder="1" applyProtection="1">
      <protection hidden="1"/>
    </xf>
    <xf numFmtId="0" fontId="8" fillId="6" borderId="23" xfId="0" applyFont="1" applyFill="1" applyBorder="1" applyProtection="1">
      <protection hidden="1"/>
    </xf>
    <xf numFmtId="2" fontId="8" fillId="7" borderId="29" xfId="0" applyNumberFormat="1" applyFont="1" applyFill="1" applyBorder="1" applyAlignment="1" applyProtection="1">
      <alignment horizontal="center"/>
      <protection hidden="1"/>
    </xf>
    <xf numFmtId="0" fontId="8" fillId="4" borderId="18" xfId="0" applyFont="1" applyFill="1" applyBorder="1" applyAlignment="1" applyProtection="1">
      <alignment horizontal="center"/>
      <protection locked="0" hidden="1"/>
    </xf>
    <xf numFmtId="0" fontId="8" fillId="7" borderId="18" xfId="0" applyFont="1" applyFill="1" applyBorder="1" applyAlignment="1" applyProtection="1">
      <alignment horizontal="center"/>
      <protection hidden="1"/>
    </xf>
    <xf numFmtId="0" fontId="8" fillId="3" borderId="23" xfId="0" applyFont="1" applyFill="1" applyBorder="1" applyAlignment="1">
      <alignment horizontal="center" vertical="center"/>
    </xf>
    <xf numFmtId="0" fontId="0" fillId="0" borderId="30" xfId="0" applyBorder="1" applyAlignment="1">
      <alignment horizontal="center"/>
    </xf>
    <xf numFmtId="0" fontId="8" fillId="5" borderId="33" xfId="0" applyFont="1" applyFill="1" applyBorder="1" applyProtection="1">
      <protection hidden="1"/>
    </xf>
    <xf numFmtId="0" fontId="8" fillId="5" borderId="28" xfId="0" applyFont="1" applyFill="1" applyBorder="1" applyProtection="1">
      <protection hidden="1"/>
    </xf>
    <xf numFmtId="0" fontId="34" fillId="3" borderId="18" xfId="0" applyFont="1" applyFill="1" applyBorder="1" applyAlignment="1" applyProtection="1">
      <alignment horizontal="right" vertical="center"/>
      <protection hidden="1"/>
    </xf>
    <xf numFmtId="0" fontId="8" fillId="7" borderId="29" xfId="0" applyFont="1" applyFill="1" applyBorder="1" applyAlignment="1" applyProtection="1">
      <alignment horizontal="center"/>
      <protection hidden="1"/>
    </xf>
    <xf numFmtId="0" fontId="0" fillId="0" borderId="0" xfId="0" applyAlignment="1">
      <alignment horizontal="center"/>
    </xf>
    <xf numFmtId="0" fontId="8" fillId="5" borderId="28" xfId="0" applyFont="1" applyFill="1" applyBorder="1" applyAlignment="1" applyProtection="1">
      <alignment horizontal="center"/>
      <protection hidden="1"/>
    </xf>
    <xf numFmtId="0" fontId="8" fillId="5" borderId="29" xfId="0" applyFont="1" applyFill="1" applyBorder="1" applyAlignment="1" applyProtection="1">
      <alignment horizontal="left"/>
      <protection hidden="1"/>
    </xf>
    <xf numFmtId="0" fontId="8" fillId="6" borderId="34" xfId="0" applyFont="1" applyFill="1" applyBorder="1" applyProtection="1">
      <protection hidden="1"/>
    </xf>
    <xf numFmtId="0" fontId="0" fillId="0" borderId="24" xfId="0" applyBorder="1" applyAlignment="1">
      <alignment horizontal="center"/>
    </xf>
    <xf numFmtId="0" fontId="0" fillId="0" borderId="35" xfId="0" applyBorder="1" applyAlignment="1">
      <alignment horizontal="center"/>
    </xf>
    <xf numFmtId="0" fontId="8" fillId="3" borderId="31" xfId="0" applyFont="1" applyFill="1" applyBorder="1" applyAlignment="1" applyProtection="1">
      <alignment horizontal="center"/>
      <protection hidden="1"/>
    </xf>
    <xf numFmtId="0" fontId="8" fillId="4" borderId="36" xfId="0" applyFont="1" applyFill="1" applyBorder="1" applyAlignment="1" applyProtection="1">
      <alignment horizontal="center"/>
      <protection locked="0" hidden="1"/>
    </xf>
    <xf numFmtId="0" fontId="9" fillId="3" borderId="37" xfId="0" applyFont="1" applyFill="1" applyBorder="1" applyAlignment="1" applyProtection="1">
      <alignment horizontal="center"/>
      <protection hidden="1"/>
    </xf>
    <xf numFmtId="171" fontId="0" fillId="0" borderId="24" xfId="0" applyNumberFormat="1" applyBorder="1" applyAlignment="1">
      <alignment horizontal="center"/>
    </xf>
    <xf numFmtId="166" fontId="8" fillId="7" borderId="18" xfId="0" applyNumberFormat="1" applyFont="1" applyFill="1" applyBorder="1" applyAlignment="1" applyProtection="1">
      <alignment horizontal="center"/>
      <protection hidden="1"/>
    </xf>
    <xf numFmtId="0" fontId="34" fillId="3" borderId="20" xfId="0" applyFont="1" applyFill="1" applyBorder="1" applyAlignment="1" applyProtection="1">
      <alignment horizontal="center" vertical="center"/>
      <protection hidden="1"/>
    </xf>
    <xf numFmtId="166" fontId="8" fillId="7" borderId="38" xfId="0" applyNumberFormat="1" applyFont="1" applyFill="1" applyBorder="1" applyAlignment="1" applyProtection="1">
      <alignment horizontal="center"/>
      <protection hidden="1"/>
    </xf>
    <xf numFmtId="0" fontId="0" fillId="0" borderId="0" xfId="0" applyNumberFormat="1"/>
    <xf numFmtId="0" fontId="8" fillId="5" borderId="20" xfId="0" applyFont="1" applyFill="1" applyBorder="1" applyAlignment="1" applyProtection="1">
      <alignment horizontal="center" vertical="center"/>
      <protection hidden="1"/>
    </xf>
    <xf numFmtId="166" fontId="8" fillId="5" borderId="20" xfId="0" applyNumberFormat="1" applyFont="1" applyFill="1" applyBorder="1" applyAlignment="1" applyProtection="1">
      <alignment horizontal="center"/>
      <protection hidden="1"/>
    </xf>
    <xf numFmtId="166" fontId="8" fillId="5" borderId="37" xfId="0" applyNumberFormat="1" applyFont="1" applyFill="1" applyBorder="1" applyAlignment="1" applyProtection="1">
      <alignment horizontal="center"/>
      <protection hidden="1"/>
    </xf>
    <xf numFmtId="0" fontId="0" fillId="0" borderId="32" xfId="0" applyBorder="1" applyAlignment="1">
      <alignment horizontal="center"/>
    </xf>
    <xf numFmtId="1" fontId="8" fillId="5" borderId="0" xfId="0" applyNumberFormat="1" applyFont="1" applyFill="1" applyBorder="1" applyProtection="1">
      <protection hidden="1"/>
    </xf>
    <xf numFmtId="0" fontId="8" fillId="3" borderId="18" xfId="0" applyFont="1" applyFill="1" applyBorder="1" applyAlignment="1" applyProtection="1">
      <alignment horizontal="center"/>
      <protection hidden="1"/>
    </xf>
    <xf numFmtId="1" fontId="8" fillId="4" borderId="18" xfId="0" applyNumberFormat="1" applyFont="1" applyFill="1" applyBorder="1" applyAlignment="1" applyProtection="1">
      <alignment horizontal="center"/>
      <protection locked="0" hidden="1"/>
    </xf>
    <xf numFmtId="0" fontId="8" fillId="7" borderId="18" xfId="0" applyFont="1" applyFill="1" applyBorder="1" applyAlignment="1" applyProtection="1">
      <alignment horizontal="center" vertical="center"/>
      <protection hidden="1"/>
    </xf>
    <xf numFmtId="166" fontId="9" fillId="3" borderId="37" xfId="0" applyNumberFormat="1" applyFont="1" applyFill="1" applyBorder="1" applyAlignment="1" applyProtection="1">
      <alignment horizontal="left"/>
      <protection hidden="1"/>
    </xf>
    <xf numFmtId="166" fontId="8" fillId="7" borderId="20" xfId="0" applyNumberFormat="1" applyFont="1" applyFill="1" applyBorder="1" applyAlignment="1" applyProtection="1">
      <alignment horizontal="center"/>
      <protection hidden="1"/>
    </xf>
    <xf numFmtId="0" fontId="35" fillId="3" borderId="18" xfId="0" applyFont="1" applyFill="1" applyBorder="1" applyAlignment="1" applyProtection="1">
      <alignment horizontal="center" vertical="center"/>
      <protection hidden="1"/>
    </xf>
    <xf numFmtId="0" fontId="8" fillId="5" borderId="20" xfId="0" applyFont="1" applyFill="1" applyBorder="1" applyAlignment="1" applyProtection="1">
      <alignment horizontal="center"/>
      <protection hidden="1"/>
    </xf>
    <xf numFmtId="0" fontId="8" fillId="5" borderId="37" xfId="0" applyFont="1" applyFill="1" applyBorder="1" applyAlignment="1" applyProtection="1">
      <alignment horizontal="left"/>
      <protection hidden="1"/>
    </xf>
    <xf numFmtId="0" fontId="9" fillId="3" borderId="37" xfId="0" applyFont="1" applyFill="1" applyBorder="1" applyAlignment="1" applyProtection="1">
      <alignment horizontal="left"/>
      <protection hidden="1"/>
    </xf>
    <xf numFmtId="0" fontId="8" fillId="8" borderId="37" xfId="0" applyFont="1" applyFill="1" applyBorder="1" applyAlignment="1" applyProtection="1">
      <alignment horizontal="center"/>
      <protection hidden="1"/>
    </xf>
    <xf numFmtId="0" fontId="8" fillId="5" borderId="37" xfId="0" applyFont="1" applyFill="1" applyBorder="1" applyAlignment="1" applyProtection="1">
      <alignment horizontal="center"/>
      <protection hidden="1"/>
    </xf>
    <xf numFmtId="0" fontId="9" fillId="3" borderId="18" xfId="0" applyFont="1" applyFill="1" applyBorder="1" applyAlignment="1" applyProtection="1">
      <alignment horizontal="center"/>
      <protection hidden="1"/>
    </xf>
    <xf numFmtId="0" fontId="8" fillId="4" borderId="38" xfId="0" applyFont="1" applyFill="1" applyBorder="1" applyAlignment="1" applyProtection="1">
      <alignment horizontal="center"/>
      <protection locked="0" hidden="1"/>
    </xf>
    <xf numFmtId="1" fontId="8" fillId="3" borderId="18" xfId="0" applyNumberFormat="1" applyFont="1" applyFill="1" applyBorder="1" applyAlignment="1" applyProtection="1">
      <alignment horizontal="center"/>
      <protection hidden="1"/>
    </xf>
    <xf numFmtId="169" fontId="8" fillId="7" borderId="18" xfId="0" applyNumberFormat="1" applyFont="1" applyFill="1" applyBorder="1" applyAlignment="1" applyProtection="1">
      <alignment horizontal="center"/>
      <protection hidden="1"/>
    </xf>
    <xf numFmtId="169" fontId="8" fillId="7" borderId="38" xfId="0" applyNumberFormat="1" applyFont="1" applyFill="1" applyBorder="1" applyAlignment="1" applyProtection="1">
      <alignment horizontal="center"/>
      <protection hidden="1"/>
    </xf>
    <xf numFmtId="171" fontId="8" fillId="4" borderId="18" xfId="0" applyNumberFormat="1" applyFont="1" applyFill="1" applyBorder="1" applyAlignment="1" applyProtection="1">
      <alignment horizontal="center"/>
      <protection locked="0" hidden="1"/>
    </xf>
    <xf numFmtId="166" fontId="8" fillId="4" borderId="29" xfId="0" applyNumberFormat="1" applyFont="1" applyFill="1" applyBorder="1" applyAlignment="1" applyProtection="1">
      <alignment horizontal="center"/>
      <protection locked="0" hidden="1"/>
    </xf>
    <xf numFmtId="1" fontId="8" fillId="7" borderId="38" xfId="0" applyNumberFormat="1" applyFont="1" applyFill="1" applyBorder="1" applyAlignment="1" applyProtection="1">
      <alignment horizontal="center"/>
      <protection hidden="1"/>
    </xf>
    <xf numFmtId="0" fontId="2" fillId="0" borderId="0" xfId="1" quotePrefix="1" applyAlignment="1" applyProtection="1"/>
    <xf numFmtId="0" fontId="8" fillId="5" borderId="29" xfId="0" applyFont="1" applyFill="1" applyBorder="1" applyProtection="1">
      <protection hidden="1"/>
    </xf>
    <xf numFmtId="0" fontId="4" fillId="2" borderId="39" xfId="1" applyFont="1" applyFill="1" applyBorder="1" applyAlignment="1" applyProtection="1">
      <alignment horizontal="center" vertical="center"/>
      <protection hidden="1"/>
    </xf>
    <xf numFmtId="166" fontId="8" fillId="7" borderId="29" xfId="0" applyNumberFormat="1" applyFont="1" applyFill="1" applyBorder="1" applyAlignment="1" applyProtection="1">
      <alignment horizontal="center"/>
      <protection hidden="1"/>
    </xf>
    <xf numFmtId="0" fontId="4" fillId="2" borderId="40" xfId="1" applyFont="1" applyFill="1" applyBorder="1" applyAlignment="1" applyProtection="1">
      <alignment horizontal="center" vertical="center"/>
      <protection hidden="1"/>
    </xf>
    <xf numFmtId="2" fontId="0" fillId="0" borderId="0" xfId="0" applyNumberFormat="1"/>
    <xf numFmtId="171" fontId="8" fillId="7" borderId="18" xfId="0" applyNumberFormat="1" applyFont="1" applyFill="1" applyBorder="1" applyAlignment="1" applyProtection="1">
      <alignment horizontal="center"/>
      <protection hidden="1"/>
    </xf>
    <xf numFmtId="0" fontId="8" fillId="5" borderId="28" xfId="0" applyFont="1" applyFill="1" applyBorder="1" applyAlignment="1" applyProtection="1">
      <alignment horizontal="center" vertical="center" wrapText="1"/>
      <protection hidden="1"/>
    </xf>
    <xf numFmtId="0" fontId="8" fillId="5" borderId="29" xfId="0" applyFont="1" applyFill="1" applyBorder="1" applyAlignment="1" applyProtection="1">
      <alignment horizontal="center" vertical="center" wrapText="1"/>
      <protection hidden="1"/>
    </xf>
    <xf numFmtId="0" fontId="8" fillId="4" borderId="18" xfId="0" applyFont="1" applyFill="1" applyBorder="1" applyAlignment="1" applyProtection="1">
      <alignment horizontal="center" vertical="center"/>
      <protection locked="0" hidden="1"/>
    </xf>
    <xf numFmtId="0" fontId="9" fillId="3" borderId="18" xfId="0" applyFont="1" applyFill="1" applyBorder="1" applyAlignment="1" applyProtection="1">
      <alignment horizontal="center" vertical="center"/>
      <protection hidden="1"/>
    </xf>
    <xf numFmtId="0" fontId="8" fillId="7" borderId="29" xfId="0" applyFont="1" applyFill="1" applyBorder="1" applyAlignment="1" applyProtection="1">
      <alignment horizontal="center" vertical="center"/>
      <protection hidden="1"/>
    </xf>
    <xf numFmtId="0" fontId="16" fillId="5" borderId="0" xfId="0" applyFont="1" applyFill="1" applyBorder="1" applyAlignment="1" applyProtection="1">
      <alignment horizontal="right" vertical="center"/>
      <protection hidden="1"/>
    </xf>
    <xf numFmtId="0" fontId="8" fillId="5" borderId="0" xfId="0" applyFont="1" applyFill="1" applyBorder="1" applyAlignment="1" applyProtection="1">
      <alignment horizontal="center" vertical="center"/>
      <protection hidden="1"/>
    </xf>
    <xf numFmtId="0" fontId="9" fillId="5" borderId="0" xfId="0" applyFont="1" applyFill="1" applyBorder="1" applyAlignment="1">
      <alignment horizontal="center" vertical="center"/>
    </xf>
    <xf numFmtId="0" fontId="8" fillId="5" borderId="4" xfId="0" applyFont="1" applyFill="1" applyBorder="1" applyAlignment="1" applyProtection="1">
      <alignment horizontal="center" vertical="center"/>
      <protection hidden="1"/>
    </xf>
    <xf numFmtId="0" fontId="8" fillId="4" borderId="29" xfId="0" applyFont="1" applyFill="1" applyBorder="1" applyAlignment="1" applyProtection="1">
      <alignment horizontal="center" vertical="center"/>
      <protection locked="0" hidden="1"/>
    </xf>
    <xf numFmtId="0" fontId="9" fillId="5" borderId="3" xfId="0" applyFont="1" applyFill="1" applyBorder="1"/>
    <xf numFmtId="0" fontId="9" fillId="5" borderId="0" xfId="0" applyFont="1" applyFill="1" applyBorder="1"/>
    <xf numFmtId="166" fontId="8" fillId="7" borderId="29" xfId="0" applyNumberFormat="1" applyFont="1" applyFill="1" applyBorder="1" applyAlignment="1" applyProtection="1">
      <alignment horizontal="center" vertical="center"/>
      <protection hidden="1"/>
    </xf>
    <xf numFmtId="0" fontId="9" fillId="5" borderId="20" xfId="0" applyFont="1" applyFill="1" applyBorder="1" applyAlignment="1">
      <alignment horizontal="center" vertical="center"/>
    </xf>
    <xf numFmtId="0" fontId="8" fillId="5" borderId="37" xfId="0" applyFont="1" applyFill="1" applyBorder="1" applyAlignment="1" applyProtection="1">
      <alignment horizontal="center" vertical="center"/>
      <protection hidden="1"/>
    </xf>
    <xf numFmtId="3" fontId="8" fillId="7" borderId="18" xfId="0" applyNumberFormat="1" applyFont="1" applyFill="1" applyBorder="1" applyAlignment="1" applyProtection="1">
      <alignment horizontal="center" vertical="center"/>
      <protection hidden="1"/>
    </xf>
    <xf numFmtId="0" fontId="8" fillId="3" borderId="29" xfId="0" applyFont="1" applyFill="1" applyBorder="1" applyAlignment="1" applyProtection="1">
      <alignment horizontal="center" vertical="center"/>
      <protection hidden="1"/>
    </xf>
    <xf numFmtId="3" fontId="8" fillId="7" borderId="22" xfId="0" applyNumberFormat="1" applyFont="1" applyFill="1" applyBorder="1" applyAlignment="1" applyProtection="1">
      <alignment horizontal="center" vertical="center"/>
      <protection hidden="1"/>
    </xf>
    <xf numFmtId="0" fontId="8" fillId="3" borderId="18" xfId="0" applyFont="1" applyFill="1" applyBorder="1" applyAlignment="1" applyProtection="1">
      <alignment horizontal="center" vertical="center"/>
      <protection hidden="1"/>
    </xf>
    <xf numFmtId="3" fontId="8" fillId="4" borderId="22" xfId="0" applyNumberFormat="1" applyFont="1" applyFill="1" applyBorder="1" applyAlignment="1" applyProtection="1">
      <alignment horizontal="center" vertical="center"/>
      <protection locked="0" hidden="1"/>
    </xf>
    <xf numFmtId="0" fontId="8" fillId="9" borderId="18" xfId="0" applyFont="1" applyFill="1" applyBorder="1" applyAlignment="1" applyProtection="1">
      <alignment horizontal="center" vertical="center"/>
      <protection hidden="1"/>
    </xf>
    <xf numFmtId="0" fontId="8" fillId="9" borderId="29" xfId="0" applyFont="1" applyFill="1" applyBorder="1" applyAlignment="1" applyProtection="1">
      <alignment horizontal="center" vertical="center"/>
      <protection hidden="1"/>
    </xf>
    <xf numFmtId="0" fontId="9" fillId="5" borderId="16" xfId="0" applyFont="1" applyFill="1" applyBorder="1"/>
    <xf numFmtId="0" fontId="4" fillId="2" borderId="41" xfId="1" applyFont="1" applyFill="1" applyBorder="1" applyAlignment="1" applyProtection="1">
      <alignment horizontal="center" vertical="center"/>
      <protection locked="0" hidden="1"/>
    </xf>
    <xf numFmtId="0" fontId="14" fillId="0" borderId="0" xfId="0" applyFont="1"/>
    <xf numFmtId="0" fontId="14" fillId="0" borderId="0" xfId="0" applyFont="1" applyBorder="1"/>
    <xf numFmtId="0" fontId="0" fillId="5" borderId="3" xfId="0" applyFill="1" applyBorder="1"/>
    <xf numFmtId="0" fontId="0" fillId="5" borderId="0" xfId="0" applyFill="1" applyBorder="1"/>
    <xf numFmtId="0" fontId="0" fillId="5" borderId="4" xfId="0" applyFill="1" applyBorder="1"/>
    <xf numFmtId="0" fontId="0" fillId="5" borderId="0" xfId="0" applyFill="1" applyBorder="1" applyAlignment="1">
      <alignment horizontal="center" vertical="center" shrinkToFit="1"/>
    </xf>
    <xf numFmtId="165" fontId="0" fillId="5" borderId="0" xfId="0" applyNumberFormat="1" applyFill="1" applyBorder="1" applyAlignment="1">
      <alignment horizontal="center" vertical="center"/>
    </xf>
    <xf numFmtId="0" fontId="0" fillId="5" borderId="13" xfId="0" applyFill="1" applyBorder="1"/>
    <xf numFmtId="0" fontId="0" fillId="5" borderId="14" xfId="0" applyFill="1" applyBorder="1"/>
    <xf numFmtId="0" fontId="0" fillId="5" borderId="15" xfId="0" applyFill="1" applyBorder="1"/>
    <xf numFmtId="0" fontId="33" fillId="7" borderId="24" xfId="0" applyFont="1" applyFill="1" applyBorder="1" applyAlignment="1">
      <alignment horizontal="center" vertical="center" wrapText="1"/>
    </xf>
    <xf numFmtId="0" fontId="33" fillId="7" borderId="24" xfId="0" applyFont="1" applyFill="1" applyBorder="1" applyAlignment="1">
      <alignment horizontal="center" vertical="center"/>
    </xf>
    <xf numFmtId="0" fontId="0" fillId="5" borderId="0" xfId="0" applyFill="1" applyBorder="1" applyAlignment="1">
      <alignment horizontal="center"/>
    </xf>
    <xf numFmtId="165" fontId="0" fillId="5" borderId="0" xfId="0" applyNumberFormat="1" applyFill="1" applyBorder="1" applyAlignment="1">
      <alignment horizontal="center"/>
    </xf>
    <xf numFmtId="0" fontId="0" fillId="3" borderId="42" xfId="0" applyFill="1" applyBorder="1" applyAlignment="1">
      <alignment horizontal="center" vertical="center"/>
    </xf>
    <xf numFmtId="0" fontId="0" fillId="3" borderId="25" xfId="0" applyFill="1" applyBorder="1" applyAlignment="1">
      <alignment horizontal="center" vertical="center"/>
    </xf>
    <xf numFmtId="0" fontId="0" fillId="3" borderId="43" xfId="0" applyFill="1" applyBorder="1" applyAlignment="1">
      <alignment horizontal="center" vertical="center"/>
    </xf>
    <xf numFmtId="0" fontId="0" fillId="0" borderId="3" xfId="0" applyBorder="1"/>
    <xf numFmtId="0" fontId="0" fillId="0" borderId="4" xfId="0" applyBorder="1"/>
    <xf numFmtId="0" fontId="34" fillId="5" borderId="0" xfId="0" applyFont="1" applyFill="1" applyBorder="1" applyAlignment="1">
      <alignment horizontal="center" vertical="center"/>
    </xf>
    <xf numFmtId="0" fontId="8" fillId="5" borderId="0" xfId="0" applyFont="1" applyFill="1" applyBorder="1" applyAlignment="1">
      <alignment horizontal="left" vertical="center"/>
    </xf>
    <xf numFmtId="0" fontId="34" fillId="0" borderId="0" xfId="0" applyFont="1" applyBorder="1" applyAlignment="1">
      <alignment horizontal="center"/>
    </xf>
    <xf numFmtId="0" fontId="29" fillId="0" borderId="0" xfId="0" applyFont="1" applyBorder="1" applyAlignment="1">
      <alignment horizontal="center"/>
    </xf>
    <xf numFmtId="0" fontId="29" fillId="0" borderId="0" xfId="0" applyFont="1" applyBorder="1"/>
    <xf numFmtId="0" fontId="1" fillId="0" borderId="0" xfId="0" applyFont="1" applyAlignment="1">
      <alignment horizontal="center" vertical="center"/>
    </xf>
    <xf numFmtId="0" fontId="0" fillId="3" borderId="44" xfId="0" applyFill="1" applyBorder="1" applyProtection="1">
      <protection hidden="1"/>
    </xf>
    <xf numFmtId="0" fontId="0" fillId="3" borderId="45" xfId="0" applyFill="1" applyBorder="1" applyProtection="1">
      <protection hidden="1"/>
    </xf>
    <xf numFmtId="0" fontId="0" fillId="3" borderId="46" xfId="0" applyFill="1" applyBorder="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5" xfId="0" applyFill="1" applyBorder="1" applyProtection="1">
      <protection hidden="1"/>
    </xf>
    <xf numFmtId="0" fontId="0" fillId="5" borderId="47" xfId="0" applyFill="1" applyBorder="1"/>
    <xf numFmtId="0" fontId="0" fillId="5" borderId="48" xfId="0" applyFill="1" applyBorder="1"/>
    <xf numFmtId="0" fontId="0" fillId="5" borderId="49" xfId="0" applyFill="1" applyBorder="1"/>
    <xf numFmtId="0" fontId="0" fillId="3" borderId="44" xfId="0" applyFill="1" applyBorder="1"/>
    <xf numFmtId="0" fontId="0" fillId="3" borderId="45" xfId="0" applyFill="1" applyBorder="1"/>
    <xf numFmtId="0" fontId="0" fillId="3" borderId="50" xfId="0" applyFill="1" applyBorder="1"/>
    <xf numFmtId="0" fontId="0" fillId="3" borderId="46" xfId="0" applyFill="1" applyBorder="1"/>
    <xf numFmtId="2" fontId="8" fillId="3" borderId="28" xfId="0" applyNumberFormat="1" applyFont="1" applyFill="1" applyBorder="1" applyAlignment="1" applyProtection="1">
      <alignment horizontal="center" vertical="center" wrapText="1"/>
      <protection hidden="1"/>
    </xf>
    <xf numFmtId="0" fontId="9" fillId="6" borderId="18" xfId="0" applyFont="1" applyFill="1" applyBorder="1" applyProtection="1">
      <protection hidden="1"/>
    </xf>
    <xf numFmtId="0" fontId="8" fillId="3" borderId="28" xfId="0" applyFont="1" applyFill="1" applyBorder="1" applyAlignment="1" applyProtection="1">
      <alignment horizontal="center" vertical="center"/>
      <protection hidden="1"/>
    </xf>
    <xf numFmtId="0" fontId="0" fillId="5" borderId="3" xfId="0" applyFill="1" applyBorder="1" applyAlignment="1" applyProtection="1">
      <alignment horizontal="center" vertical="center" wrapText="1"/>
      <protection hidden="1"/>
    </xf>
    <xf numFmtId="2" fontId="0" fillId="4" borderId="52" xfId="0" applyNumberFormat="1" applyFill="1" applyBorder="1" applyAlignment="1" applyProtection="1">
      <alignment horizontal="center" vertical="center" wrapText="1"/>
      <protection locked="0" hidden="1"/>
    </xf>
    <xf numFmtId="2" fontId="0" fillId="4" borderId="51" xfId="0" applyNumberFormat="1" applyFill="1" applyBorder="1" applyAlignment="1" applyProtection="1">
      <alignment horizontal="center" vertical="center" wrapText="1"/>
      <protection locked="0" hidden="1"/>
    </xf>
    <xf numFmtId="0" fontId="0" fillId="5" borderId="0" xfId="0" applyFill="1" applyBorder="1" applyAlignment="1" applyProtection="1">
      <alignment horizontal="center" vertical="center" wrapText="1"/>
      <protection hidden="1"/>
    </xf>
    <xf numFmtId="165" fontId="0" fillId="2" borderId="52" xfId="0" applyNumberFormat="1" applyFill="1" applyBorder="1" applyAlignment="1" applyProtection="1">
      <alignment horizontal="center" vertical="center" wrapText="1"/>
      <protection hidden="1"/>
    </xf>
    <xf numFmtId="165" fontId="0" fillId="2" borderId="51" xfId="0" applyNumberFormat="1" applyFill="1" applyBorder="1" applyAlignment="1" applyProtection="1">
      <alignment horizontal="center" vertical="center" wrapText="1"/>
      <protection hidden="1"/>
    </xf>
    <xf numFmtId="0" fontId="0" fillId="5" borderId="4" xfId="0" applyFill="1" applyBorder="1" applyAlignment="1" applyProtection="1">
      <alignment horizontal="center" vertical="center" wrapText="1"/>
      <protection hidden="1"/>
    </xf>
    <xf numFmtId="166" fontId="0" fillId="2" borderId="52" xfId="0" applyNumberFormat="1" applyFill="1" applyBorder="1" applyAlignment="1" applyProtection="1">
      <alignment horizontal="center" vertical="center" wrapText="1"/>
      <protection hidden="1"/>
    </xf>
    <xf numFmtId="166" fontId="0" fillId="2" borderId="51" xfId="0" applyNumberFormat="1" applyFill="1" applyBorder="1" applyAlignment="1" applyProtection="1">
      <alignment horizontal="center" vertical="center" wrapText="1"/>
      <protection hidden="1"/>
    </xf>
    <xf numFmtId="2" fontId="0" fillId="2" borderId="52" xfId="0" applyNumberFormat="1" applyFill="1" applyBorder="1" applyAlignment="1" applyProtection="1">
      <alignment horizontal="center" vertical="center" wrapText="1"/>
      <protection hidden="1"/>
    </xf>
    <xf numFmtId="2" fontId="0" fillId="2" borderId="51" xfId="0" applyNumberFormat="1" applyFill="1" applyBorder="1" applyAlignment="1" applyProtection="1">
      <alignment horizontal="center" vertical="center" wrapText="1"/>
      <protection hidden="1"/>
    </xf>
    <xf numFmtId="164" fontId="0" fillId="2" borderId="52" xfId="0" applyNumberFormat="1" applyFill="1" applyBorder="1" applyAlignment="1" applyProtection="1">
      <alignment horizontal="center" vertical="center" wrapText="1"/>
      <protection hidden="1"/>
    </xf>
    <xf numFmtId="164" fontId="0" fillId="2" borderId="51" xfId="0" applyNumberFormat="1" applyFill="1" applyBorder="1" applyAlignment="1" applyProtection="1">
      <alignment horizontal="center" vertical="center" wrapText="1"/>
      <protection hidden="1"/>
    </xf>
    <xf numFmtId="0" fontId="0" fillId="4" borderId="52" xfId="0" applyFill="1" applyBorder="1" applyAlignment="1" applyProtection="1">
      <alignment horizontal="center" vertical="center" wrapText="1"/>
      <protection locked="0" hidden="1"/>
    </xf>
    <xf numFmtId="0" fontId="0" fillId="4" borderId="51" xfId="0" applyFill="1" applyBorder="1" applyAlignment="1" applyProtection="1">
      <alignment horizontal="center" vertical="center" wrapText="1"/>
      <protection locked="0" hidden="1"/>
    </xf>
    <xf numFmtId="0" fontId="0" fillId="5" borderId="3" xfId="0" applyFill="1" applyBorder="1" applyAlignment="1" applyProtection="1">
      <alignment horizontal="left" vertical="center" wrapText="1"/>
      <protection hidden="1"/>
    </xf>
    <xf numFmtId="1" fontId="0" fillId="2" borderId="52" xfId="0" applyNumberFormat="1" applyFill="1" applyBorder="1" applyAlignment="1" applyProtection="1">
      <alignment horizontal="center" vertical="center" wrapText="1"/>
      <protection hidden="1"/>
    </xf>
    <xf numFmtId="1" fontId="0" fillId="2" borderId="51" xfId="0" applyNumberFormat="1" applyFill="1" applyBorder="1" applyAlignment="1" applyProtection="1">
      <alignment horizontal="center" vertical="center" wrapText="1"/>
      <protection hidden="1"/>
    </xf>
    <xf numFmtId="1" fontId="0" fillId="2" borderId="52" xfId="0" applyNumberFormat="1" applyFill="1" applyBorder="1" applyAlignment="1">
      <alignment horizontal="center" vertical="center"/>
    </xf>
    <xf numFmtId="1" fontId="0" fillId="2" borderId="51" xfId="0" applyNumberFormat="1" applyFill="1" applyBorder="1" applyAlignment="1">
      <alignment horizontal="center" vertical="center"/>
    </xf>
    <xf numFmtId="165" fontId="17" fillId="3" borderId="47" xfId="0" applyNumberFormat="1" applyFont="1" applyFill="1" applyBorder="1" applyAlignment="1">
      <alignment horizontal="center" vertical="center" wrapText="1"/>
    </xf>
    <xf numFmtId="165" fontId="17" fillId="3" borderId="48" xfId="0" applyNumberFormat="1" applyFont="1" applyFill="1" applyBorder="1" applyAlignment="1">
      <alignment horizontal="center" vertical="center" wrapText="1"/>
    </xf>
    <xf numFmtId="165" fontId="17" fillId="3" borderId="49" xfId="0" applyNumberFormat="1" applyFont="1" applyFill="1" applyBorder="1" applyAlignment="1">
      <alignment horizontal="center" vertical="center" wrapText="1"/>
    </xf>
    <xf numFmtId="165" fontId="17" fillId="3" borderId="3" xfId="0" applyNumberFormat="1" applyFont="1" applyFill="1" applyBorder="1" applyAlignment="1">
      <alignment horizontal="center" vertical="center" wrapText="1"/>
    </xf>
    <xf numFmtId="165" fontId="17" fillId="3" borderId="0" xfId="0" applyNumberFormat="1" applyFont="1" applyFill="1" applyBorder="1" applyAlignment="1">
      <alignment horizontal="center" vertical="center" wrapText="1"/>
    </xf>
    <xf numFmtId="165" fontId="17" fillId="3" borderId="4" xfId="0" applyNumberFormat="1" applyFont="1" applyFill="1" applyBorder="1" applyAlignment="1">
      <alignment horizontal="center" vertical="center" wrapText="1"/>
    </xf>
    <xf numFmtId="165" fontId="17" fillId="3" borderId="13" xfId="0" applyNumberFormat="1" applyFont="1" applyFill="1" applyBorder="1" applyAlignment="1">
      <alignment horizontal="center" vertical="center" wrapText="1"/>
    </xf>
    <xf numFmtId="165" fontId="17" fillId="3" borderId="14" xfId="0" applyNumberFormat="1" applyFont="1" applyFill="1" applyBorder="1" applyAlignment="1">
      <alignment horizontal="center" vertical="center" wrapText="1"/>
    </xf>
    <xf numFmtId="165" fontId="17" fillId="3" borderId="15" xfId="0" applyNumberFormat="1" applyFont="1" applyFill="1" applyBorder="1" applyAlignment="1">
      <alignment horizontal="center" vertical="center" wrapText="1"/>
    </xf>
    <xf numFmtId="0" fontId="0" fillId="4" borderId="52" xfId="0" applyFill="1" applyBorder="1" applyAlignment="1" applyProtection="1">
      <alignment horizontal="center" vertical="center"/>
      <protection locked="0" hidden="1"/>
    </xf>
    <xf numFmtId="0" fontId="0" fillId="4" borderId="51" xfId="0" applyFill="1" applyBorder="1" applyAlignment="1" applyProtection="1">
      <alignment horizontal="center" vertical="center"/>
      <protection locked="0" hidden="1"/>
    </xf>
    <xf numFmtId="165" fontId="0" fillId="4" borderId="52" xfId="0" applyNumberFormat="1" applyFill="1" applyBorder="1" applyAlignment="1" applyProtection="1">
      <alignment horizontal="center" vertical="center" wrapText="1"/>
      <protection locked="0" hidden="1"/>
    </xf>
    <xf numFmtId="165" fontId="0" fillId="4" borderId="51" xfId="0" applyNumberFormat="1" applyFill="1" applyBorder="1" applyAlignment="1" applyProtection="1">
      <alignment horizontal="center" vertical="center" wrapText="1"/>
      <protection locked="0" hidden="1"/>
    </xf>
    <xf numFmtId="0" fontId="0" fillId="2" borderId="52" xfId="0" applyFill="1" applyBorder="1" applyAlignment="1" applyProtection="1">
      <alignment horizontal="center" vertical="center" wrapText="1"/>
      <protection hidden="1"/>
    </xf>
    <xf numFmtId="0" fontId="0" fillId="2" borderId="51" xfId="0" applyFill="1" applyBorder="1" applyAlignment="1" applyProtection="1">
      <alignment horizontal="center" vertical="center" wrapText="1"/>
      <protection hidden="1"/>
    </xf>
    <xf numFmtId="166" fontId="0" fillId="4" borderId="52" xfId="0" applyNumberFormat="1" applyFill="1" applyBorder="1" applyAlignment="1" applyProtection="1">
      <alignment horizontal="center" vertical="center" wrapText="1"/>
      <protection locked="0" hidden="1"/>
    </xf>
    <xf numFmtId="166" fontId="0" fillId="4" borderId="51" xfId="0" applyNumberFormat="1" applyFill="1" applyBorder="1" applyAlignment="1" applyProtection="1">
      <alignment horizontal="center" vertical="center" wrapText="1"/>
      <protection locked="0" hidden="1"/>
    </xf>
    <xf numFmtId="0" fontId="47" fillId="3" borderId="47" xfId="0" applyFont="1" applyFill="1" applyBorder="1" applyAlignment="1">
      <alignment horizontal="center" vertical="center" wrapText="1"/>
    </xf>
    <xf numFmtId="0" fontId="47" fillId="3" borderId="48" xfId="0" applyFont="1" applyFill="1" applyBorder="1" applyAlignment="1">
      <alignment horizontal="center" vertical="center" wrapText="1"/>
    </xf>
    <xf numFmtId="0" fontId="47" fillId="3" borderId="49" xfId="0" applyFont="1" applyFill="1" applyBorder="1" applyAlignment="1">
      <alignment horizontal="center" vertical="center" wrapText="1"/>
    </xf>
    <xf numFmtId="0" fontId="47" fillId="3" borderId="3" xfId="0" applyFont="1" applyFill="1" applyBorder="1" applyAlignment="1">
      <alignment horizontal="center" vertical="center" wrapText="1"/>
    </xf>
    <xf numFmtId="0" fontId="47" fillId="3" borderId="0" xfId="0" applyFont="1" applyFill="1" applyBorder="1" applyAlignment="1">
      <alignment horizontal="center" vertical="center" wrapText="1"/>
    </xf>
    <xf numFmtId="0" fontId="47" fillId="3" borderId="4" xfId="0" applyFont="1" applyFill="1" applyBorder="1" applyAlignment="1">
      <alignment horizontal="center" vertical="center" wrapText="1"/>
    </xf>
    <xf numFmtId="0" fontId="47" fillId="3" borderId="13" xfId="0" applyFont="1" applyFill="1" applyBorder="1" applyAlignment="1">
      <alignment horizontal="center" vertical="center" wrapText="1"/>
    </xf>
    <xf numFmtId="0" fontId="47" fillId="3" borderId="14" xfId="0" applyFont="1" applyFill="1" applyBorder="1" applyAlignment="1">
      <alignment horizontal="center" vertical="center" wrapText="1"/>
    </xf>
    <xf numFmtId="0" fontId="47" fillId="3" borderId="15" xfId="0" applyFont="1" applyFill="1" applyBorder="1" applyAlignment="1">
      <alignment horizontal="center" vertical="center" wrapText="1"/>
    </xf>
    <xf numFmtId="0" fontId="0" fillId="5" borderId="3" xfId="0" applyFill="1" applyBorder="1" applyAlignment="1">
      <alignment horizontal="center" vertical="center" wrapText="1"/>
    </xf>
    <xf numFmtId="0" fontId="0" fillId="5" borderId="0" xfId="0" applyFill="1" applyBorder="1" applyAlignment="1">
      <alignment horizontal="center" vertical="center" wrapText="1"/>
    </xf>
    <xf numFmtId="0" fontId="0" fillId="2" borderId="52" xfId="0" applyFill="1" applyBorder="1" applyAlignment="1">
      <alignment horizontal="center" vertical="center" wrapText="1"/>
    </xf>
    <xf numFmtId="0" fontId="0" fillId="2" borderId="51" xfId="0" applyFill="1" applyBorder="1" applyAlignment="1">
      <alignment horizontal="center" vertical="center" wrapText="1"/>
    </xf>
    <xf numFmtId="166" fontId="0" fillId="2" borderId="52" xfId="0" applyNumberFormat="1" applyFill="1" applyBorder="1" applyAlignment="1">
      <alignment horizontal="center" vertical="center" wrapText="1"/>
    </xf>
    <xf numFmtId="166" fontId="0" fillId="2" borderId="51" xfId="0" applyNumberFormat="1" applyFill="1" applyBorder="1" applyAlignment="1">
      <alignment horizontal="center" vertical="center" wrapText="1"/>
    </xf>
    <xf numFmtId="165" fontId="27" fillId="4" borderId="52" xfId="0" applyNumberFormat="1" applyFont="1" applyFill="1" applyBorder="1" applyAlignment="1" applyProtection="1">
      <alignment horizontal="center" vertical="center" wrapText="1"/>
      <protection locked="0"/>
    </xf>
    <xf numFmtId="165" fontId="27" fillId="4" borderId="51" xfId="0" applyNumberFormat="1" applyFont="1" applyFill="1" applyBorder="1" applyAlignment="1" applyProtection="1">
      <alignment horizontal="center" vertical="center" wrapText="1"/>
      <protection locked="0"/>
    </xf>
    <xf numFmtId="0" fontId="27" fillId="5" borderId="3" xfId="0" applyFont="1" applyFill="1" applyBorder="1" applyAlignment="1">
      <alignment horizontal="center" vertical="center" wrapText="1"/>
    </xf>
    <xf numFmtId="0" fontId="27" fillId="5" borderId="0" xfId="0" applyFont="1" applyFill="1" applyBorder="1" applyAlignment="1">
      <alignment horizontal="center" vertical="center" wrapText="1"/>
    </xf>
    <xf numFmtId="166" fontId="27" fillId="4" borderId="52" xfId="0" applyNumberFormat="1" applyFont="1" applyFill="1" applyBorder="1" applyAlignment="1" applyProtection="1">
      <alignment horizontal="center" vertical="center" wrapText="1"/>
      <protection locked="0"/>
    </xf>
    <xf numFmtId="166" fontId="27" fillId="4" borderId="51" xfId="0" applyNumberFormat="1" applyFont="1" applyFill="1" applyBorder="1" applyAlignment="1" applyProtection="1">
      <alignment horizontal="center" vertical="center" wrapText="1"/>
      <protection locked="0"/>
    </xf>
    <xf numFmtId="0" fontId="43" fillId="3" borderId="47" xfId="0" applyFont="1" applyFill="1" applyBorder="1" applyAlignment="1">
      <alignment horizontal="center" vertical="center" wrapText="1"/>
    </xf>
    <xf numFmtId="0" fontId="43" fillId="3" borderId="48" xfId="0" applyFont="1" applyFill="1" applyBorder="1" applyAlignment="1">
      <alignment horizontal="center" vertical="center" wrapText="1"/>
    </xf>
    <xf numFmtId="0" fontId="43" fillId="3" borderId="49" xfId="0" applyFont="1" applyFill="1" applyBorder="1" applyAlignment="1">
      <alignment horizontal="center" vertical="center" wrapText="1"/>
    </xf>
    <xf numFmtId="0" fontId="43" fillId="3" borderId="3" xfId="0" applyFont="1" applyFill="1" applyBorder="1" applyAlignment="1">
      <alignment horizontal="center" vertical="center" wrapText="1"/>
    </xf>
    <xf numFmtId="0" fontId="43" fillId="3" borderId="0" xfId="0" applyFont="1" applyFill="1" applyBorder="1" applyAlignment="1">
      <alignment horizontal="center" vertical="center" wrapText="1"/>
    </xf>
    <xf numFmtId="0" fontId="43" fillId="3" borderId="4"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43" fillId="3" borderId="14" xfId="0" applyFont="1" applyFill="1" applyBorder="1" applyAlignment="1">
      <alignment horizontal="center" vertical="center" wrapText="1"/>
    </xf>
    <xf numFmtId="0" fontId="43" fillId="3" borderId="15" xfId="0" applyFont="1" applyFill="1" applyBorder="1" applyAlignment="1">
      <alignment horizontal="center" vertical="center" wrapText="1"/>
    </xf>
    <xf numFmtId="0" fontId="28" fillId="0" borderId="53" xfId="0" applyFont="1" applyBorder="1" applyAlignment="1">
      <alignment horizontal="left" vertical="center" wrapText="1"/>
    </xf>
    <xf numFmtId="0" fontId="8" fillId="0" borderId="54" xfId="0" applyFont="1" applyBorder="1" applyAlignment="1">
      <alignment horizontal="left" vertical="center" wrapText="1"/>
    </xf>
    <xf numFmtId="0" fontId="8" fillId="0" borderId="55" xfId="0" applyFont="1" applyBorder="1" applyAlignment="1">
      <alignment horizontal="left" vertical="center" wrapText="1"/>
    </xf>
    <xf numFmtId="0" fontId="8" fillId="0" borderId="3" xfId="0" applyFont="1" applyBorder="1" applyAlignment="1">
      <alignment horizontal="left" vertical="center" wrapText="1"/>
    </xf>
    <xf numFmtId="0" fontId="8" fillId="0" borderId="0" xfId="0" applyFont="1" applyBorder="1" applyAlignment="1">
      <alignment horizontal="left" vertical="center" wrapText="1"/>
    </xf>
    <xf numFmtId="0" fontId="8" fillId="0" borderId="4" xfId="0" applyFont="1" applyBorder="1" applyAlignment="1">
      <alignment horizontal="left" vertical="center" wrapText="1"/>
    </xf>
    <xf numFmtId="0" fontId="8" fillId="0" borderId="56" xfId="0" applyFont="1" applyBorder="1" applyAlignment="1">
      <alignment horizontal="left" vertical="center" wrapText="1"/>
    </xf>
    <xf numFmtId="0" fontId="8" fillId="0" borderId="57" xfId="0" applyFont="1" applyBorder="1" applyAlignment="1">
      <alignment horizontal="left" vertical="center" wrapText="1"/>
    </xf>
    <xf numFmtId="0" fontId="8" fillId="0" borderId="58" xfId="0" applyFont="1" applyBorder="1" applyAlignment="1">
      <alignment horizontal="left" vertical="center" wrapText="1"/>
    </xf>
    <xf numFmtId="0" fontId="10" fillId="3" borderId="4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166" fontId="27" fillId="2" borderId="52" xfId="0" applyNumberFormat="1" applyFont="1" applyFill="1" applyBorder="1" applyAlignment="1" applyProtection="1">
      <alignment horizontal="center" vertical="center" wrapText="1"/>
      <protection hidden="1"/>
    </xf>
    <xf numFmtId="166" fontId="27" fillId="2" borderId="51" xfId="0" applyNumberFormat="1" applyFont="1" applyFill="1" applyBorder="1" applyAlignment="1" applyProtection="1">
      <alignment horizontal="center" vertical="center" wrapText="1"/>
      <protection hidden="1"/>
    </xf>
    <xf numFmtId="0" fontId="45" fillId="5" borderId="0" xfId="0" applyFont="1" applyFill="1" applyBorder="1" applyAlignment="1">
      <alignment horizontal="center" vertical="center" wrapText="1"/>
    </xf>
    <xf numFmtId="0" fontId="45" fillId="0" borderId="53" xfId="0" applyFont="1" applyBorder="1" applyAlignment="1">
      <alignment horizontal="left" vertical="center" wrapText="1"/>
    </xf>
    <xf numFmtId="0" fontId="45" fillId="0" borderId="54" xfId="0" applyFont="1" applyBorder="1" applyAlignment="1">
      <alignment horizontal="left" vertical="center" wrapText="1"/>
    </xf>
    <xf numFmtId="0" fontId="45" fillId="0" borderId="55" xfId="0" applyFont="1" applyBorder="1" applyAlignment="1">
      <alignment horizontal="left" vertical="center" wrapText="1"/>
    </xf>
    <xf numFmtId="0" fontId="45" fillId="0" borderId="3" xfId="0" applyFont="1" applyBorder="1" applyAlignment="1">
      <alignment horizontal="left" vertical="center" wrapText="1"/>
    </xf>
    <xf numFmtId="0" fontId="45" fillId="0" borderId="0" xfId="0" applyFont="1" applyBorder="1" applyAlignment="1">
      <alignment horizontal="left" vertical="center" wrapText="1"/>
    </xf>
    <xf numFmtId="0" fontId="45" fillId="0" borderId="4" xfId="0" applyFont="1" applyBorder="1" applyAlignment="1">
      <alignment horizontal="left" vertical="center" wrapText="1"/>
    </xf>
    <xf numFmtId="0" fontId="45" fillId="0" borderId="56" xfId="0" applyFont="1" applyBorder="1" applyAlignment="1">
      <alignment horizontal="left" vertical="center" wrapText="1"/>
    </xf>
    <xf numFmtId="0" fontId="45" fillId="0" borderId="57" xfId="0" applyFont="1" applyBorder="1" applyAlignment="1">
      <alignment horizontal="left" vertical="center" wrapText="1"/>
    </xf>
    <xf numFmtId="0" fontId="45" fillId="0" borderId="58" xfId="0" applyFont="1" applyBorder="1" applyAlignment="1">
      <alignment horizontal="left" vertical="center" wrapText="1"/>
    </xf>
    <xf numFmtId="0" fontId="41" fillId="3" borderId="47" xfId="0" applyFont="1" applyFill="1" applyBorder="1" applyAlignment="1">
      <alignment horizontal="center" vertical="center" wrapText="1"/>
    </xf>
    <xf numFmtId="0" fontId="41" fillId="3" borderId="48" xfId="0" applyFont="1" applyFill="1" applyBorder="1" applyAlignment="1">
      <alignment horizontal="center" vertical="center" wrapText="1"/>
    </xf>
    <xf numFmtId="0" fontId="41" fillId="3" borderId="49" xfId="0" applyFont="1" applyFill="1" applyBorder="1" applyAlignment="1">
      <alignment horizontal="center" vertical="center" wrapText="1"/>
    </xf>
    <xf numFmtId="0" fontId="41" fillId="3" borderId="3" xfId="0" applyFont="1" applyFill="1" applyBorder="1" applyAlignment="1">
      <alignment horizontal="center" vertical="center" wrapText="1"/>
    </xf>
    <xf numFmtId="0" fontId="41" fillId="3" borderId="0" xfId="0" applyFont="1" applyFill="1" applyBorder="1" applyAlignment="1">
      <alignment horizontal="center" vertical="center" wrapText="1"/>
    </xf>
    <xf numFmtId="0" fontId="41" fillId="3" borderId="4" xfId="0" applyFont="1" applyFill="1" applyBorder="1" applyAlignment="1">
      <alignment horizontal="center" vertical="center" wrapText="1"/>
    </xf>
    <xf numFmtId="0" fontId="41" fillId="3" borderId="13" xfId="0" applyFont="1" applyFill="1" applyBorder="1" applyAlignment="1">
      <alignment horizontal="center" vertical="center" wrapText="1"/>
    </xf>
    <xf numFmtId="0" fontId="41" fillId="3" borderId="14" xfId="0" applyFont="1" applyFill="1" applyBorder="1" applyAlignment="1">
      <alignment horizontal="center" vertical="center" wrapText="1"/>
    </xf>
    <xf numFmtId="0" fontId="41" fillId="3" borderId="15" xfId="0" applyFont="1" applyFill="1" applyBorder="1" applyAlignment="1">
      <alignment horizontal="center" vertical="center" wrapText="1"/>
    </xf>
    <xf numFmtId="0" fontId="16" fillId="0" borderId="5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9"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166" fontId="8" fillId="4" borderId="52" xfId="0" applyNumberFormat="1" applyFont="1" applyFill="1" applyBorder="1" applyAlignment="1" applyProtection="1">
      <alignment horizontal="center" vertical="center" wrapText="1"/>
      <protection locked="0"/>
    </xf>
    <xf numFmtId="166" fontId="8" fillId="4" borderId="51" xfId="0" applyNumberFormat="1" applyFont="1" applyFill="1" applyBorder="1" applyAlignment="1" applyProtection="1">
      <alignment horizontal="center" vertical="center" wrapText="1"/>
      <protection locked="0"/>
    </xf>
    <xf numFmtId="166" fontId="27" fillId="2" borderId="52" xfId="0" applyNumberFormat="1" applyFont="1" applyFill="1" applyBorder="1" applyAlignment="1">
      <alignment horizontal="center" vertical="center" wrapText="1"/>
    </xf>
    <xf numFmtId="166" fontId="27" fillId="2" borderId="51" xfId="0" applyNumberFormat="1" applyFont="1" applyFill="1" applyBorder="1" applyAlignment="1">
      <alignment horizontal="center" vertical="center" wrapText="1"/>
    </xf>
    <xf numFmtId="0" fontId="33" fillId="0" borderId="53" xfId="0" applyFont="1" applyBorder="1" applyAlignment="1">
      <alignment horizontal="center" vertical="center" wrapText="1"/>
    </xf>
    <xf numFmtId="0" fontId="33" fillId="0" borderId="54" xfId="0" applyFont="1" applyBorder="1" applyAlignment="1">
      <alignment horizontal="center" vertical="center" wrapText="1"/>
    </xf>
    <xf numFmtId="0" fontId="33" fillId="0" borderId="55" xfId="0" applyFont="1" applyBorder="1" applyAlignment="1">
      <alignment horizontal="center" vertical="center" wrapText="1"/>
    </xf>
    <xf numFmtId="0" fontId="33" fillId="0" borderId="56" xfId="0" applyFont="1" applyBorder="1" applyAlignment="1">
      <alignment horizontal="center" vertical="center" wrapText="1"/>
    </xf>
    <xf numFmtId="0" fontId="33" fillId="0" borderId="57" xfId="0" applyFont="1" applyBorder="1" applyAlignment="1">
      <alignment horizontal="center" vertical="center" wrapText="1"/>
    </xf>
    <xf numFmtId="0" fontId="33" fillId="0" borderId="58" xfId="0" applyFont="1" applyBorder="1" applyAlignment="1">
      <alignment horizontal="center" vertical="center" wrapText="1"/>
    </xf>
    <xf numFmtId="0" fontId="42" fillId="5" borderId="3" xfId="0" applyFont="1" applyFill="1" applyBorder="1" applyAlignment="1">
      <alignment horizontal="center" vertical="center" wrapText="1"/>
    </xf>
    <xf numFmtId="0" fontId="27" fillId="5" borderId="3" xfId="0" applyFont="1" applyFill="1" applyBorder="1" applyAlignment="1">
      <alignment horizontal="left" vertical="center" wrapText="1"/>
    </xf>
    <xf numFmtId="0" fontId="27" fillId="5" borderId="0" xfId="0" applyFont="1" applyFill="1" applyBorder="1" applyAlignment="1">
      <alignment horizontal="left" vertical="center" wrapText="1"/>
    </xf>
    <xf numFmtId="0" fontId="0" fillId="5" borderId="0" xfId="0" applyFill="1" applyBorder="1" applyAlignment="1">
      <alignment horizontal="left" vertical="center"/>
    </xf>
    <xf numFmtId="0" fontId="34" fillId="5" borderId="3" xfId="0" applyFont="1" applyFill="1" applyBorder="1" applyAlignment="1">
      <alignment horizontal="center" vertical="center" wrapText="1"/>
    </xf>
    <xf numFmtId="0" fontId="33" fillId="7" borderId="64" xfId="0" applyFont="1" applyFill="1" applyBorder="1" applyAlignment="1">
      <alignment horizontal="center" vertical="center" wrapText="1"/>
    </xf>
    <xf numFmtId="0" fontId="33" fillId="7" borderId="65"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7" fillId="3" borderId="48"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60" xfId="0" applyFont="1" applyBorder="1" applyAlignment="1">
      <alignment horizontal="left" vertical="center" wrapText="1"/>
    </xf>
    <xf numFmtId="0" fontId="9" fillId="0" borderId="61" xfId="0" applyFont="1" applyBorder="1" applyAlignment="1">
      <alignment horizontal="left" vertical="center" wrapText="1"/>
    </xf>
    <xf numFmtId="0" fontId="9" fillId="0" borderId="62" xfId="0" applyFont="1" applyBorder="1" applyAlignment="1">
      <alignment horizontal="left" vertical="center" wrapText="1"/>
    </xf>
    <xf numFmtId="0" fontId="9" fillId="0" borderId="63"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12" fillId="4" borderId="52" xfId="0" applyFont="1" applyFill="1" applyBorder="1" applyAlignment="1" applyProtection="1">
      <alignment horizontal="center" vertical="center" wrapText="1"/>
      <protection locked="0"/>
    </xf>
    <xf numFmtId="0" fontId="12" fillId="4" borderId="51" xfId="0" applyFont="1" applyFill="1" applyBorder="1" applyAlignment="1" applyProtection="1">
      <alignment horizontal="center" vertical="center" wrapText="1"/>
      <protection locked="0"/>
    </xf>
    <xf numFmtId="0" fontId="29" fillId="5" borderId="3" xfId="0" applyFont="1" applyFill="1" applyBorder="1" applyAlignment="1">
      <alignment horizontal="center" vertical="center" wrapText="1"/>
    </xf>
    <xf numFmtId="0" fontId="39" fillId="0" borderId="59" xfId="0" applyFont="1" applyBorder="1" applyAlignment="1">
      <alignment horizontal="left" vertical="center" wrapText="1"/>
    </xf>
    <xf numFmtId="0" fontId="39" fillId="0" borderId="5" xfId="0" applyFont="1" applyBorder="1" applyAlignment="1">
      <alignment horizontal="left" vertical="center" wrapText="1"/>
    </xf>
    <xf numFmtId="0" fontId="39" fillId="0" borderId="6" xfId="0" applyFont="1" applyBorder="1" applyAlignment="1">
      <alignment horizontal="left" vertical="center" wrapText="1"/>
    </xf>
    <xf numFmtId="0" fontId="39" fillId="0" borderId="9" xfId="0" applyFont="1" applyBorder="1" applyAlignment="1">
      <alignment horizontal="left" vertical="center" wrapText="1"/>
    </xf>
    <xf numFmtId="0" fontId="39" fillId="0" borderId="7" xfId="0" applyFont="1" applyBorder="1" applyAlignment="1">
      <alignment horizontal="left" vertical="center" wrapText="1"/>
    </xf>
    <xf numFmtId="0" fontId="39" fillId="0" borderId="8" xfId="0" applyFont="1" applyBorder="1" applyAlignment="1">
      <alignment horizontal="left" vertical="center" wrapText="1"/>
    </xf>
    <xf numFmtId="0" fontId="8" fillId="7" borderId="64" xfId="0" applyFont="1" applyFill="1" applyBorder="1" applyAlignment="1">
      <alignment horizontal="center" vertical="center" wrapText="1"/>
    </xf>
    <xf numFmtId="0" fontId="0" fillId="7" borderId="66" xfId="0" applyFill="1" applyBorder="1" applyAlignment="1">
      <alignment horizontal="center" vertical="center" wrapText="1"/>
    </xf>
    <xf numFmtId="0" fontId="0" fillId="7" borderId="65" xfId="0" applyFill="1" applyBorder="1" applyAlignment="1">
      <alignment horizontal="center" vertical="center" wrapText="1"/>
    </xf>
    <xf numFmtId="0" fontId="34" fillId="7" borderId="65"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8" fillId="3" borderId="59"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40" fillId="3" borderId="59"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19" fillId="3" borderId="47" xfId="0" applyFont="1" applyFill="1" applyBorder="1" applyAlignment="1">
      <alignment horizontal="center" vertical="center" wrapText="1"/>
    </xf>
    <xf numFmtId="0" fontId="0" fillId="3" borderId="48" xfId="0" applyFill="1" applyBorder="1" applyAlignment="1">
      <alignment horizontal="center" vertical="center" wrapText="1"/>
    </xf>
    <xf numFmtId="0" fontId="0" fillId="3" borderId="49" xfId="0" applyFill="1" applyBorder="1" applyAlignment="1">
      <alignment horizontal="center" vertical="center" wrapText="1"/>
    </xf>
    <xf numFmtId="0" fontId="0" fillId="3" borderId="3" xfId="0" applyFill="1" applyBorder="1" applyAlignment="1">
      <alignment horizontal="center" vertical="center" wrapText="1"/>
    </xf>
    <xf numFmtId="0" fontId="0" fillId="3" borderId="0" xfId="0" applyFill="1" applyBorder="1" applyAlignment="1">
      <alignment horizontal="center" vertical="center" wrapText="1"/>
    </xf>
    <xf numFmtId="0" fontId="0" fillId="3" borderId="4" xfId="0" applyFill="1" applyBorder="1" applyAlignment="1">
      <alignment horizontal="center" vertical="center" wrapText="1"/>
    </xf>
    <xf numFmtId="0" fontId="0" fillId="3" borderId="63"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165" fontId="8" fillId="4" borderId="52" xfId="0" applyNumberFormat="1" applyFont="1" applyFill="1" applyBorder="1" applyAlignment="1" applyProtection="1">
      <alignment horizontal="center" vertical="center" wrapText="1"/>
      <protection locked="0"/>
    </xf>
    <xf numFmtId="165" fontId="8" fillId="4" borderId="51" xfId="0" applyNumberFormat="1" applyFont="1" applyFill="1" applyBorder="1" applyAlignment="1" applyProtection="1">
      <alignment horizontal="center" vertical="center" wrapText="1"/>
      <protection locked="0"/>
    </xf>
    <xf numFmtId="0" fontId="33" fillId="5"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1" fontId="8" fillId="4" borderId="52" xfId="0" applyNumberFormat="1" applyFont="1" applyFill="1" applyBorder="1" applyAlignment="1" applyProtection="1">
      <alignment horizontal="center" vertical="center" wrapText="1"/>
      <protection locked="0"/>
    </xf>
    <xf numFmtId="1" fontId="8" fillId="4" borderId="51" xfId="0" applyNumberFormat="1" applyFont="1" applyFill="1" applyBorder="1" applyAlignment="1" applyProtection="1">
      <alignment horizontal="center" vertical="center" wrapText="1"/>
      <protection locked="0"/>
    </xf>
    <xf numFmtId="0" fontId="39" fillId="5" borderId="0" xfId="0" applyFont="1" applyFill="1" applyBorder="1" applyAlignment="1">
      <alignment horizontal="center" vertical="center" wrapText="1"/>
    </xf>
    <xf numFmtId="1" fontId="8" fillId="2" borderId="52" xfId="0" applyNumberFormat="1" applyFont="1" applyFill="1" applyBorder="1" applyAlignment="1">
      <alignment horizontal="center" vertical="center" wrapText="1"/>
    </xf>
    <xf numFmtId="1" fontId="8" fillId="2" borderId="51"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8" fillId="3" borderId="33" xfId="0" applyFont="1" applyFill="1" applyBorder="1" applyAlignment="1" applyProtection="1">
      <alignment horizontal="center" vertical="center"/>
      <protection hidden="1"/>
    </xf>
    <xf numFmtId="0" fontId="8" fillId="0" borderId="28" xfId="0" applyFont="1" applyBorder="1" applyAlignment="1" applyProtection="1">
      <alignment horizontal="center" vertical="center"/>
      <protection hidden="1"/>
    </xf>
    <xf numFmtId="0" fontId="8" fillId="3" borderId="28" xfId="0" applyFont="1" applyFill="1" applyBorder="1" applyAlignment="1" applyProtection="1">
      <alignment horizontal="center" vertical="center"/>
      <protection hidden="1"/>
    </xf>
    <xf numFmtId="0" fontId="8" fillId="0" borderId="23" xfId="0" applyFont="1" applyBorder="1" applyAlignment="1" applyProtection="1">
      <alignment horizontal="center" vertical="center"/>
      <protection hidden="1"/>
    </xf>
    <xf numFmtId="164" fontId="8" fillId="4" borderId="33" xfId="0" applyNumberFormat="1" applyFont="1" applyFill="1" applyBorder="1" applyAlignment="1" applyProtection="1">
      <alignment horizontal="center" vertical="center"/>
      <protection locked="0"/>
    </xf>
    <xf numFmtId="164" fontId="8" fillId="4" borderId="23" xfId="0" applyNumberFormat="1" applyFont="1" applyFill="1" applyBorder="1" applyAlignment="1" applyProtection="1">
      <alignment horizontal="center" vertical="center"/>
      <protection locked="0"/>
    </xf>
    <xf numFmtId="164" fontId="8" fillId="7" borderId="22" xfId="0" applyNumberFormat="1" applyFont="1" applyFill="1" applyBorder="1" applyAlignment="1">
      <alignment horizontal="center" vertical="center"/>
    </xf>
    <xf numFmtId="164" fontId="8" fillId="7" borderId="23" xfId="0" applyNumberFormat="1" applyFont="1" applyFill="1" applyBorder="1" applyAlignment="1">
      <alignment horizontal="center" vertical="center"/>
    </xf>
    <xf numFmtId="0" fontId="4" fillId="2" borderId="19" xfId="1" applyFont="1" applyFill="1" applyBorder="1" applyAlignment="1" applyProtection="1">
      <alignment horizontal="center" vertical="center" wrapText="1"/>
      <protection hidden="1"/>
    </xf>
    <xf numFmtId="0" fontId="4" fillId="0" borderId="21" xfId="1" applyFont="1" applyBorder="1" applyAlignment="1" applyProtection="1">
      <alignment horizontal="center" vertical="center" wrapText="1"/>
    </xf>
    <xf numFmtId="0" fontId="4" fillId="0" borderId="30" xfId="1" applyFont="1" applyBorder="1" applyAlignment="1" applyProtection="1">
      <alignment horizontal="center" vertical="center" wrapText="1"/>
    </xf>
    <xf numFmtId="0" fontId="4" fillId="0" borderId="32" xfId="1" applyFont="1" applyBorder="1" applyAlignment="1" applyProtection="1">
      <alignment horizontal="center" vertical="center" wrapText="1"/>
    </xf>
    <xf numFmtId="0" fontId="4" fillId="2" borderId="67" xfId="1" applyFont="1" applyFill="1" applyBorder="1" applyAlignment="1" applyProtection="1">
      <alignment horizontal="center" vertical="center" wrapText="1"/>
    </xf>
    <xf numFmtId="0" fontId="4" fillId="0" borderId="9" xfId="1" applyFont="1" applyBorder="1" applyAlignment="1" applyProtection="1">
      <alignment horizontal="center" vertical="center" wrapText="1"/>
    </xf>
    <xf numFmtId="0" fontId="4" fillId="0" borderId="68" xfId="1" applyFont="1" applyBorder="1" applyAlignment="1" applyProtection="1">
      <alignment horizontal="center" vertical="center" wrapText="1"/>
    </xf>
    <xf numFmtId="0" fontId="4" fillId="2" borderId="69" xfId="1" applyFont="1" applyFill="1" applyBorder="1" applyAlignment="1" applyProtection="1">
      <alignment horizontal="center" vertical="center" wrapText="1"/>
      <protection hidden="1"/>
    </xf>
    <xf numFmtId="0" fontId="4" fillId="0" borderId="70" xfId="1" applyFont="1" applyBorder="1" applyAlignment="1" applyProtection="1">
      <alignment horizontal="center" vertical="center" wrapText="1"/>
    </xf>
    <xf numFmtId="0" fontId="5" fillId="2" borderId="69" xfId="1" applyFont="1" applyFill="1" applyBorder="1" applyAlignment="1" applyProtection="1">
      <alignment horizontal="center" vertical="center" wrapText="1"/>
      <protection hidden="1"/>
    </xf>
    <xf numFmtId="0" fontId="5" fillId="0" borderId="71" xfId="1" applyFont="1" applyBorder="1" applyAlignment="1" applyProtection="1">
      <alignment horizontal="center" vertical="center" wrapText="1"/>
    </xf>
    <xf numFmtId="0" fontId="4" fillId="2" borderId="19" xfId="1" applyFont="1" applyFill="1" applyBorder="1" applyAlignment="1" applyProtection="1">
      <alignment horizontal="center" vertical="center" wrapText="1"/>
    </xf>
    <xf numFmtId="164" fontId="8" fillId="7" borderId="22" xfId="0" applyNumberFormat="1" applyFont="1" applyFill="1" applyBorder="1" applyAlignment="1">
      <alignment horizontal="center" vertical="center" wrapText="1"/>
    </xf>
    <xf numFmtId="164" fontId="8" fillId="7" borderId="23" xfId="0" applyNumberFormat="1" applyFont="1" applyFill="1" applyBorder="1" applyAlignment="1">
      <alignment horizontal="center" vertical="center" wrapText="1"/>
    </xf>
    <xf numFmtId="2" fontId="8" fillId="3" borderId="33" xfId="0" applyNumberFormat="1" applyFont="1" applyFill="1" applyBorder="1" applyAlignment="1" applyProtection="1">
      <alignment horizontal="center" vertical="center" wrapText="1"/>
      <protection hidden="1"/>
    </xf>
    <xf numFmtId="0" fontId="0" fillId="0" borderId="28" xfId="0" applyBorder="1" applyAlignment="1" applyProtection="1">
      <alignment horizontal="center" vertical="center" wrapText="1"/>
      <protection hidden="1"/>
    </xf>
    <xf numFmtId="2" fontId="8" fillId="3" borderId="28" xfId="0" applyNumberFormat="1" applyFont="1" applyFill="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3" borderId="67" xfId="0" applyFont="1" applyFill="1" applyBorder="1" applyAlignment="1" applyProtection="1">
      <alignment horizontal="center"/>
      <protection hidden="1"/>
    </xf>
    <xf numFmtId="0" fontId="8" fillId="3" borderId="20" xfId="0" applyFont="1" applyFill="1" applyBorder="1" applyAlignment="1" applyProtection="1">
      <alignment horizontal="center"/>
      <protection hidden="1"/>
    </xf>
    <xf numFmtId="0" fontId="8" fillId="4" borderId="33" xfId="0" applyFont="1" applyFill="1" applyBorder="1" applyAlignment="1" applyProtection="1">
      <alignment horizontal="center"/>
      <protection locked="0" hidden="1"/>
    </xf>
    <xf numFmtId="0" fontId="8" fillId="4" borderId="23" xfId="0" applyFont="1" applyFill="1" applyBorder="1" applyAlignment="1" applyProtection="1">
      <alignment horizontal="center"/>
      <protection locked="0" hidden="1"/>
    </xf>
    <xf numFmtId="166" fontId="8" fillId="7" borderId="22" xfId="0" applyNumberFormat="1" applyFont="1" applyFill="1" applyBorder="1" applyAlignment="1" applyProtection="1">
      <alignment horizontal="center"/>
      <protection hidden="1"/>
    </xf>
    <xf numFmtId="166" fontId="8" fillId="7" borderId="23" xfId="0" applyNumberFormat="1" applyFont="1" applyFill="1" applyBorder="1" applyAlignment="1" applyProtection="1">
      <alignment horizontal="center"/>
      <protection hidden="1"/>
    </xf>
    <xf numFmtId="0" fontId="8" fillId="3" borderId="21" xfId="0" applyFont="1" applyFill="1" applyBorder="1" applyAlignment="1" applyProtection="1">
      <alignment horizontal="center"/>
      <protection hidden="1"/>
    </xf>
    <xf numFmtId="164" fontId="8" fillId="7" borderId="22" xfId="0" applyNumberFormat="1" applyFont="1" applyFill="1" applyBorder="1" applyAlignment="1" applyProtection="1">
      <alignment horizontal="center"/>
      <protection hidden="1"/>
    </xf>
    <xf numFmtId="164" fontId="8" fillId="7" borderId="23" xfId="0" applyNumberFormat="1" applyFont="1" applyFill="1" applyBorder="1" applyAlignment="1" applyProtection="1">
      <alignment horizontal="center"/>
      <protection hidden="1"/>
    </xf>
    <xf numFmtId="0" fontId="8" fillId="3" borderId="73" xfId="0" applyFont="1" applyFill="1" applyBorder="1" applyAlignment="1" applyProtection="1">
      <protection hidden="1"/>
    </xf>
    <xf numFmtId="0" fontId="8" fillId="3" borderId="31" xfId="0" applyFont="1" applyFill="1" applyBorder="1" applyAlignment="1" applyProtection="1">
      <protection hidden="1"/>
    </xf>
    <xf numFmtId="0" fontId="4" fillId="2" borderId="47" xfId="1" applyFont="1" applyFill="1" applyBorder="1" applyAlignment="1" applyProtection="1">
      <alignment horizontal="center" vertical="center" wrapText="1"/>
      <protection locked="0" hidden="1"/>
    </xf>
    <xf numFmtId="0" fontId="4" fillId="2" borderId="72" xfId="1" applyFont="1" applyFill="1" applyBorder="1" applyAlignment="1" applyProtection="1">
      <alignment horizontal="center" vertical="center" wrapText="1"/>
      <protection locked="0" hidden="1"/>
    </xf>
    <xf numFmtId="0" fontId="4" fillId="2" borderId="73" xfId="1" applyFont="1" applyFill="1" applyBorder="1" applyAlignment="1" applyProtection="1">
      <alignment horizontal="center" vertical="center" wrapText="1"/>
      <protection locked="0" hidden="1"/>
    </xf>
    <xf numFmtId="0" fontId="4" fillId="2" borderId="32" xfId="1" applyFont="1" applyFill="1" applyBorder="1" applyAlignment="1" applyProtection="1">
      <alignment horizontal="center" vertical="center" wrapText="1"/>
      <protection locked="0" hidden="1"/>
    </xf>
    <xf numFmtId="0" fontId="4" fillId="2" borderId="74" xfId="1" applyFont="1" applyFill="1" applyBorder="1" applyAlignment="1" applyProtection="1">
      <alignment horizontal="center" vertical="center" wrapText="1"/>
      <protection hidden="1"/>
    </xf>
    <xf numFmtId="0" fontId="4" fillId="2" borderId="72" xfId="1" applyFont="1" applyFill="1" applyBorder="1" applyAlignment="1" applyProtection="1">
      <alignment horizontal="center" vertical="center" wrapText="1"/>
    </xf>
    <xf numFmtId="0" fontId="4" fillId="2" borderId="30" xfId="1" applyFont="1" applyFill="1" applyBorder="1" applyAlignment="1" applyProtection="1">
      <alignment horizontal="center" vertical="center" wrapText="1"/>
      <protection hidden="1"/>
    </xf>
    <xf numFmtId="0" fontId="4" fillId="2" borderId="32" xfId="1" applyFont="1" applyFill="1" applyBorder="1" applyAlignment="1" applyProtection="1">
      <alignment horizontal="center" vertical="center" wrapText="1"/>
    </xf>
    <xf numFmtId="0" fontId="4" fillId="2" borderId="72" xfId="1" applyFont="1" applyFill="1" applyBorder="1" applyAlignment="1" applyProtection="1">
      <alignment horizontal="center" vertical="center" wrapText="1"/>
      <protection hidden="1"/>
    </xf>
    <xf numFmtId="0" fontId="4" fillId="2" borderId="32" xfId="1" applyFont="1" applyFill="1" applyBorder="1" applyAlignment="1" applyProtection="1">
      <alignment horizontal="center" vertical="center" wrapText="1"/>
      <protection hidden="1"/>
    </xf>
    <xf numFmtId="0" fontId="4" fillId="0" borderId="73" xfId="1" applyFont="1" applyBorder="1" applyAlignment="1" applyProtection="1">
      <alignment horizontal="center" vertical="center" wrapText="1"/>
    </xf>
    <xf numFmtId="0" fontId="4" fillId="2" borderId="21" xfId="1" applyFont="1" applyFill="1" applyBorder="1" applyAlignment="1" applyProtection="1">
      <alignment horizontal="center" vertical="center" wrapText="1"/>
    </xf>
    <xf numFmtId="0" fontId="4" fillId="2" borderId="30" xfId="1" applyFont="1" applyFill="1" applyBorder="1" applyAlignment="1" applyProtection="1">
      <alignment horizontal="center" vertical="center" wrapText="1"/>
    </xf>
    <xf numFmtId="0" fontId="4" fillId="2" borderId="21" xfId="1" applyFont="1" applyFill="1" applyBorder="1" applyAlignment="1" applyProtection="1">
      <alignment horizontal="center" vertical="center" wrapText="1"/>
      <protection hidden="1"/>
    </xf>
    <xf numFmtId="0" fontId="9" fillId="5" borderId="14" xfId="0" applyFont="1" applyFill="1" applyBorder="1" applyAlignment="1"/>
    <xf numFmtId="0" fontId="8" fillId="3" borderId="28" xfId="0" applyFont="1" applyFill="1" applyBorder="1" applyAlignment="1" applyProtection="1">
      <alignment horizontal="center"/>
      <protection hidden="1"/>
    </xf>
    <xf numFmtId="0" fontId="8" fillId="3" borderId="23" xfId="0" applyFont="1" applyFill="1" applyBorder="1" applyAlignment="1" applyProtection="1">
      <alignment horizontal="center"/>
      <protection hidden="1"/>
    </xf>
    <xf numFmtId="164" fontId="8" fillId="10" borderId="33" xfId="0" applyNumberFormat="1" applyFont="1" applyFill="1" applyBorder="1" applyAlignment="1" applyProtection="1">
      <alignment horizontal="center" vertical="center" wrapText="1"/>
      <protection locked="0"/>
    </xf>
    <xf numFmtId="164" fontId="8" fillId="10" borderId="23" xfId="0" applyNumberFormat="1" applyFont="1" applyFill="1" applyBorder="1" applyAlignment="1" applyProtection="1">
      <alignment horizontal="center" vertical="center" wrapText="1"/>
      <protection locked="0"/>
    </xf>
    <xf numFmtId="0" fontId="8" fillId="3" borderId="33" xfId="0" applyFont="1" applyFill="1" applyBorder="1" applyAlignment="1" applyProtection="1">
      <protection hidden="1"/>
    </xf>
    <xf numFmtId="0" fontId="8" fillId="3" borderId="23" xfId="0" applyFont="1" applyFill="1" applyBorder="1" applyAlignment="1" applyProtection="1">
      <protection hidden="1"/>
    </xf>
    <xf numFmtId="0" fontId="8" fillId="3" borderId="33" xfId="0" applyFont="1" applyFill="1" applyBorder="1" applyAlignment="1" applyProtection="1">
      <alignment horizontal="center"/>
      <protection hidden="1"/>
    </xf>
    <xf numFmtId="0" fontId="8" fillId="3" borderId="28" xfId="0" applyFont="1" applyFill="1" applyBorder="1" applyAlignment="1" applyProtection="1">
      <protection hidden="1"/>
    </xf>
    <xf numFmtId="0" fontId="34" fillId="3" borderId="22" xfId="0" applyFont="1" applyFill="1" applyBorder="1" applyAlignment="1" applyProtection="1">
      <alignment horizontal="center" vertical="center"/>
      <protection hidden="1"/>
    </xf>
    <xf numFmtId="0" fontId="34" fillId="3" borderId="23" xfId="0" applyFont="1" applyFill="1" applyBorder="1" applyAlignment="1" applyProtection="1">
      <alignment horizontal="center" vertical="center"/>
      <protection hidden="1"/>
    </xf>
    <xf numFmtId="0" fontId="8" fillId="6" borderId="22" xfId="0" applyFont="1" applyFill="1" applyBorder="1" applyAlignment="1" applyProtection="1">
      <alignment horizontal="center"/>
      <protection hidden="1"/>
    </xf>
    <xf numFmtId="0" fontId="8" fillId="6" borderId="23" xfId="0" applyFont="1" applyFill="1" applyBorder="1" applyAlignment="1" applyProtection="1">
      <alignment horizontal="center"/>
      <protection hidden="1"/>
    </xf>
    <xf numFmtId="0" fontId="9" fillId="3" borderId="22" xfId="0" applyFont="1" applyFill="1" applyBorder="1" applyAlignment="1" applyProtection="1">
      <alignment horizontal="center"/>
      <protection hidden="1"/>
    </xf>
    <xf numFmtId="0" fontId="9" fillId="3" borderId="23" xfId="0" applyFont="1" applyFill="1" applyBorder="1" applyAlignment="1" applyProtection="1">
      <alignment horizontal="center"/>
      <protection hidden="1"/>
    </xf>
    <xf numFmtId="0" fontId="8" fillId="3" borderId="22" xfId="0" applyFont="1" applyFill="1" applyBorder="1" applyAlignment="1" applyProtection="1">
      <alignment horizontal="center"/>
      <protection hidden="1"/>
    </xf>
    <xf numFmtId="0" fontId="8" fillId="3" borderId="29" xfId="0" applyFont="1" applyFill="1" applyBorder="1" applyAlignment="1" applyProtection="1">
      <alignment horizontal="center"/>
      <protection hidden="1"/>
    </xf>
    <xf numFmtId="165" fontId="8" fillId="7" borderId="22" xfId="0" applyNumberFormat="1" applyFont="1" applyFill="1" applyBorder="1" applyAlignment="1" applyProtection="1">
      <alignment horizontal="center"/>
      <protection hidden="1"/>
    </xf>
    <xf numFmtId="165" fontId="8" fillId="7" borderId="23" xfId="0" applyNumberFormat="1" applyFont="1" applyFill="1" applyBorder="1" applyAlignment="1" applyProtection="1">
      <alignment horizontal="center"/>
      <protection hidden="1"/>
    </xf>
    <xf numFmtId="0" fontId="9" fillId="3" borderId="28" xfId="0" applyFont="1" applyFill="1" applyBorder="1" applyAlignment="1">
      <alignment horizontal="center"/>
    </xf>
    <xf numFmtId="0" fontId="9" fillId="3" borderId="29" xfId="0" applyFont="1" applyFill="1" applyBorder="1" applyAlignment="1">
      <alignment horizontal="center"/>
    </xf>
    <xf numFmtId="0" fontId="8" fillId="7" borderId="22" xfId="0" applyFont="1" applyFill="1" applyBorder="1" applyAlignment="1" applyProtection="1">
      <alignment horizontal="center"/>
      <protection hidden="1"/>
    </xf>
    <xf numFmtId="0" fontId="8" fillId="7" borderId="23" xfId="0" applyFont="1" applyFill="1" applyBorder="1" applyAlignment="1" applyProtection="1">
      <alignment horizontal="center"/>
      <protection hidden="1"/>
    </xf>
    <xf numFmtId="165" fontId="36" fillId="4" borderId="22" xfId="0" applyNumberFormat="1" applyFont="1" applyFill="1" applyBorder="1" applyAlignment="1" applyProtection="1">
      <alignment horizontal="center"/>
      <protection locked="0" hidden="1"/>
    </xf>
    <xf numFmtId="165" fontId="36" fillId="4" borderId="23" xfId="0" applyNumberFormat="1" applyFont="1" applyFill="1" applyBorder="1" applyAlignment="1" applyProtection="1">
      <alignment horizontal="center"/>
      <protection locked="0" hidden="1"/>
    </xf>
    <xf numFmtId="0" fontId="35" fillId="3" borderId="22" xfId="0" applyFont="1" applyFill="1" applyBorder="1" applyAlignment="1" applyProtection="1">
      <alignment horizontal="center" vertical="center"/>
      <protection hidden="1"/>
    </xf>
    <xf numFmtId="0" fontId="35" fillId="3" borderId="28" xfId="0" applyFont="1" applyFill="1" applyBorder="1" applyAlignment="1" applyProtection="1">
      <alignment horizontal="center" vertical="center"/>
      <protection hidden="1"/>
    </xf>
    <xf numFmtId="0" fontId="35" fillId="3" borderId="23" xfId="0" applyFont="1" applyFill="1" applyBorder="1" applyAlignment="1">
      <alignment horizontal="center" vertical="center"/>
    </xf>
    <xf numFmtId="0" fontId="8" fillId="4" borderId="22" xfId="0" applyFont="1" applyFill="1" applyBorder="1" applyAlignment="1" applyProtection="1">
      <alignment horizontal="center"/>
      <protection locked="0" hidden="1"/>
    </xf>
    <xf numFmtId="0" fontId="8" fillId="4" borderId="29" xfId="0" applyFont="1" applyFill="1" applyBorder="1" applyAlignment="1" applyProtection="1">
      <alignment horizontal="center"/>
      <protection locked="0" hidden="1"/>
    </xf>
    <xf numFmtId="0" fontId="34" fillId="3" borderId="23" xfId="0" applyFont="1" applyFill="1" applyBorder="1" applyAlignment="1">
      <alignment horizontal="center" vertical="center"/>
    </xf>
    <xf numFmtId="0" fontId="9" fillId="3" borderId="28" xfId="0" applyFont="1" applyFill="1" applyBorder="1" applyAlignment="1" applyProtection="1">
      <alignment horizontal="center"/>
      <protection hidden="1"/>
    </xf>
    <xf numFmtId="0" fontId="9" fillId="3" borderId="29" xfId="0" applyFont="1" applyFill="1" applyBorder="1" applyAlignment="1" applyProtection="1">
      <alignment horizontal="center"/>
      <protection hidden="1"/>
    </xf>
    <xf numFmtId="0" fontId="32" fillId="3" borderId="22" xfId="0" applyFont="1" applyFill="1" applyBorder="1" applyAlignment="1" applyProtection="1">
      <alignment horizontal="center"/>
      <protection hidden="1"/>
    </xf>
    <xf numFmtId="0" fontId="32" fillId="3" borderId="28" xfId="0" applyFont="1" applyFill="1" applyBorder="1" applyAlignment="1" applyProtection="1">
      <alignment horizontal="center"/>
      <protection hidden="1"/>
    </xf>
    <xf numFmtId="0" fontId="32" fillId="3" borderId="29" xfId="0" applyFont="1" applyFill="1" applyBorder="1" applyAlignment="1" applyProtection="1">
      <alignment horizontal="center"/>
      <protection hidden="1"/>
    </xf>
    <xf numFmtId="0" fontId="24" fillId="3" borderId="47" xfId="0" applyFont="1" applyFill="1" applyBorder="1" applyAlignment="1" applyProtection="1">
      <alignment horizontal="center" vertical="center"/>
      <protection hidden="1"/>
    </xf>
    <xf numFmtId="0" fontId="25" fillId="3" borderId="48" xfId="0" applyFont="1" applyFill="1" applyBorder="1" applyAlignment="1" applyProtection="1">
      <alignment horizontal="center" vertical="center"/>
      <protection hidden="1"/>
    </xf>
    <xf numFmtId="0" fontId="25" fillId="3" borderId="49" xfId="0" applyFont="1" applyFill="1" applyBorder="1" applyAlignment="1" applyProtection="1">
      <alignment horizontal="center" vertical="center"/>
      <protection hidden="1"/>
    </xf>
    <xf numFmtId="0" fontId="25" fillId="3" borderId="3" xfId="0" applyFont="1" applyFill="1" applyBorder="1" applyAlignment="1" applyProtection="1">
      <alignment horizontal="center" vertical="center"/>
      <protection hidden="1"/>
    </xf>
    <xf numFmtId="0" fontId="25" fillId="3" borderId="0" xfId="0" applyFont="1" applyFill="1" applyBorder="1" applyAlignment="1" applyProtection="1">
      <alignment horizontal="center" vertical="center"/>
      <protection hidden="1"/>
    </xf>
    <xf numFmtId="0" fontId="25" fillId="3" borderId="4" xfId="0" applyFont="1" applyFill="1" applyBorder="1" applyAlignment="1" applyProtection="1">
      <alignment horizontal="center" vertical="center"/>
      <protection hidden="1"/>
    </xf>
    <xf numFmtId="0" fontId="25" fillId="3" borderId="13" xfId="0" applyFont="1" applyFill="1" applyBorder="1" applyAlignment="1" applyProtection="1">
      <alignment horizontal="center" vertical="center"/>
      <protection hidden="1"/>
    </xf>
    <xf numFmtId="0" fontId="25" fillId="3" borderId="14" xfId="0" applyFont="1" applyFill="1" applyBorder="1" applyAlignment="1" applyProtection="1">
      <alignment horizontal="center" vertical="center"/>
      <protection hidden="1"/>
    </xf>
    <xf numFmtId="0" fontId="25" fillId="3" borderId="15" xfId="0" applyFont="1" applyFill="1" applyBorder="1" applyAlignment="1" applyProtection="1">
      <alignment horizontal="center" vertical="center"/>
      <protection hidden="1"/>
    </xf>
    <xf numFmtId="0" fontId="32" fillId="4" borderId="42" xfId="0" applyFont="1" applyFill="1" applyBorder="1" applyAlignment="1" applyProtection="1">
      <alignment horizontal="center"/>
      <protection hidden="1"/>
    </xf>
    <xf numFmtId="0" fontId="32" fillId="4" borderId="75" xfId="0" applyFont="1" applyFill="1" applyBorder="1" applyAlignment="1" applyProtection="1">
      <alignment horizontal="center"/>
      <protection hidden="1"/>
    </xf>
    <xf numFmtId="0" fontId="32" fillId="2" borderId="76" xfId="0" applyFont="1" applyFill="1" applyBorder="1" applyAlignment="1" applyProtection="1">
      <alignment horizontal="center"/>
      <protection hidden="1"/>
    </xf>
    <xf numFmtId="0" fontId="32" fillId="2" borderId="75" xfId="0" applyFont="1" applyFill="1" applyBorder="1" applyAlignment="1" applyProtection="1">
      <alignment horizontal="center"/>
      <protection hidden="1"/>
    </xf>
    <xf numFmtId="0" fontId="32" fillId="4" borderId="76" xfId="0" applyFont="1" applyFill="1" applyBorder="1" applyAlignment="1" applyProtection="1">
      <alignment horizontal="center"/>
      <protection hidden="1"/>
    </xf>
    <xf numFmtId="0" fontId="33" fillId="2" borderId="76" xfId="0" applyFont="1" applyFill="1" applyBorder="1" applyAlignment="1" applyProtection="1">
      <alignment horizontal="center"/>
      <protection hidden="1"/>
    </xf>
    <xf numFmtId="0" fontId="33" fillId="2" borderId="43" xfId="0" applyFont="1" applyFill="1" applyBorder="1" applyAlignment="1" applyProtection="1">
      <alignment horizontal="center"/>
      <protection hidden="1"/>
    </xf>
    <xf numFmtId="0" fontId="30" fillId="3" borderId="59" xfId="0" applyFont="1" applyFill="1" applyBorder="1" applyAlignment="1" applyProtection="1">
      <alignment horizontal="center" vertical="center"/>
      <protection hidden="1"/>
    </xf>
    <xf numFmtId="0" fontId="30" fillId="3" borderId="5" xfId="0" applyFont="1" applyFill="1" applyBorder="1" applyAlignment="1" applyProtection="1">
      <alignment horizontal="center" vertical="center"/>
      <protection hidden="1"/>
    </xf>
    <xf numFmtId="0" fontId="31" fillId="3" borderId="5" xfId="0" applyFont="1" applyFill="1" applyBorder="1" applyAlignment="1" applyProtection="1">
      <alignment horizontal="center" vertical="center"/>
      <protection hidden="1"/>
    </xf>
    <xf numFmtId="0" fontId="31" fillId="3" borderId="6" xfId="0" applyFont="1" applyFill="1" applyBorder="1" applyAlignment="1" applyProtection="1">
      <alignment horizontal="center" vertical="center"/>
      <protection hidden="1"/>
    </xf>
    <xf numFmtId="0" fontId="30" fillId="3" borderId="9" xfId="0" applyFont="1" applyFill="1" applyBorder="1" applyAlignment="1" applyProtection="1">
      <alignment horizontal="center" vertical="center"/>
      <protection hidden="1"/>
    </xf>
    <xf numFmtId="0" fontId="30" fillId="3" borderId="7" xfId="0" applyFont="1" applyFill="1" applyBorder="1" applyAlignment="1" applyProtection="1">
      <alignment horizontal="center" vertical="center"/>
      <protection hidden="1"/>
    </xf>
    <xf numFmtId="0" fontId="31" fillId="3" borderId="7" xfId="0" applyFont="1" applyFill="1" applyBorder="1" applyAlignment="1" applyProtection="1">
      <alignment horizontal="center" vertical="center"/>
      <protection hidden="1"/>
    </xf>
    <xf numFmtId="0" fontId="31" fillId="3" borderId="8" xfId="0" applyFont="1" applyFill="1" applyBorder="1" applyAlignment="1" applyProtection="1">
      <alignment horizontal="center" vertical="center"/>
      <protection hidden="1"/>
    </xf>
    <xf numFmtId="0" fontId="4" fillId="2" borderId="67" xfId="1" applyFont="1" applyFill="1" applyBorder="1" applyAlignment="1" applyProtection="1">
      <alignment horizontal="center" vertical="center" wrapText="1"/>
      <protection hidden="1"/>
    </xf>
    <xf numFmtId="0" fontId="4" fillId="2" borderId="73" xfId="1" applyFont="1" applyFill="1" applyBorder="1" applyAlignment="1" applyProtection="1">
      <alignment horizontal="center" vertical="center" wrapText="1"/>
    </xf>
    <xf numFmtId="166" fontId="8" fillId="4" borderId="67" xfId="0" applyNumberFormat="1" applyFont="1" applyFill="1" applyBorder="1" applyAlignment="1" applyProtection="1">
      <alignment horizontal="center"/>
      <protection locked="0" hidden="1"/>
    </xf>
    <xf numFmtId="166" fontId="8" fillId="4" borderId="21" xfId="0" applyNumberFormat="1" applyFont="1" applyFill="1" applyBorder="1" applyAlignment="1" applyProtection="1">
      <alignment horizontal="center"/>
      <protection locked="0" hidden="1"/>
    </xf>
    <xf numFmtId="0" fontId="8" fillId="3" borderId="77" xfId="0" applyFont="1" applyFill="1" applyBorder="1" applyAlignment="1" applyProtection="1">
      <protection hidden="1"/>
    </xf>
    <xf numFmtId="0" fontId="8" fillId="3" borderId="18" xfId="0" applyFont="1" applyFill="1" applyBorder="1" applyAlignment="1" applyProtection="1">
      <protection hidden="1"/>
    </xf>
    <xf numFmtId="166" fontId="8" fillId="4" borderId="33" xfId="0" applyNumberFormat="1" applyFont="1" applyFill="1" applyBorder="1" applyAlignment="1" applyProtection="1">
      <alignment horizontal="center"/>
      <protection locked="0" hidden="1"/>
    </xf>
    <xf numFmtId="166" fontId="8" fillId="4" borderId="23" xfId="0" applyNumberFormat="1" applyFont="1" applyFill="1" applyBorder="1" applyAlignment="1" applyProtection="1">
      <alignment horizontal="center"/>
      <protection locked="0" hidden="1"/>
    </xf>
    <xf numFmtId="165" fontId="8" fillId="4" borderId="33" xfId="0" applyNumberFormat="1" applyFont="1" applyFill="1" applyBorder="1" applyAlignment="1" applyProtection="1">
      <alignment horizontal="center"/>
      <protection locked="0" hidden="1"/>
    </xf>
    <xf numFmtId="165" fontId="8" fillId="4" borderId="23" xfId="0" applyNumberFormat="1" applyFont="1" applyFill="1" applyBorder="1" applyAlignment="1" applyProtection="1">
      <alignment horizontal="center"/>
      <protection locked="0" hidden="1"/>
    </xf>
    <xf numFmtId="0" fontId="8" fillId="3" borderId="21" xfId="0" applyFont="1" applyFill="1" applyBorder="1" applyProtection="1">
      <protection hidden="1"/>
    </xf>
    <xf numFmtId="1" fontId="8" fillId="7" borderId="22" xfId="0" applyNumberFormat="1" applyFont="1" applyFill="1" applyBorder="1" applyAlignment="1" applyProtection="1">
      <alignment horizontal="center"/>
      <protection hidden="1"/>
    </xf>
    <xf numFmtId="1" fontId="8" fillId="7" borderId="23" xfId="0" applyNumberFormat="1" applyFont="1" applyFill="1" applyBorder="1" applyAlignment="1" applyProtection="1">
      <alignment horizontal="center"/>
      <protection hidden="1"/>
    </xf>
    <xf numFmtId="0" fontId="8" fillId="3" borderId="22" xfId="0" applyFont="1" applyFill="1" applyBorder="1" applyAlignment="1" applyProtection="1">
      <alignment horizontal="center" vertical="center"/>
      <protection hidden="1"/>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xf>
    <xf numFmtId="0" fontId="9" fillId="3" borderId="22" xfId="0" applyFont="1" applyFill="1" applyBorder="1" applyAlignment="1" applyProtection="1">
      <alignment horizontal="center" vertical="center"/>
      <protection hidden="1"/>
    </xf>
    <xf numFmtId="0" fontId="9" fillId="3" borderId="23" xfId="0" applyFont="1" applyFill="1" applyBorder="1" applyAlignment="1">
      <alignment horizontal="center" vertical="center"/>
    </xf>
    <xf numFmtId="0" fontId="0" fillId="0" borderId="0" xfId="0" applyAlignment="1"/>
    <xf numFmtId="0" fontId="4" fillId="2" borderId="79" xfId="1" applyFont="1" applyFill="1" applyBorder="1" applyAlignment="1" applyProtection="1">
      <alignment horizontal="center" vertical="center" wrapText="1"/>
    </xf>
    <xf numFmtId="0" fontId="4" fillId="2" borderId="70" xfId="1" applyFont="1" applyFill="1" applyBorder="1" applyAlignment="1" applyProtection="1">
      <alignment horizontal="center" vertical="center" wrapText="1"/>
    </xf>
    <xf numFmtId="0" fontId="4" fillId="2" borderId="70" xfId="1" applyFont="1" applyFill="1" applyBorder="1" applyAlignment="1" applyProtection="1">
      <alignment horizontal="center" vertical="center" wrapText="1"/>
      <protection hidden="1"/>
    </xf>
    <xf numFmtId="0" fontId="0" fillId="0" borderId="22" xfId="0" applyBorder="1" applyAlignment="1">
      <alignment horizontal="center"/>
    </xf>
    <xf numFmtId="0" fontId="0" fillId="0" borderId="23" xfId="0" applyBorder="1" applyAlignment="1">
      <alignment horizontal="center"/>
    </xf>
    <xf numFmtId="0" fontId="0" fillId="0" borderId="18" xfId="0" applyBorder="1" applyAlignment="1"/>
    <xf numFmtId="0" fontId="8" fillId="9" borderId="22" xfId="0" applyFont="1" applyFill="1" applyBorder="1" applyAlignment="1">
      <alignment horizontal="center" vertical="center"/>
    </xf>
    <xf numFmtId="0" fontId="8" fillId="9" borderId="23" xfId="0" applyFont="1" applyFill="1" applyBorder="1" applyAlignment="1">
      <alignment horizontal="center" vertical="center"/>
    </xf>
    <xf numFmtId="0" fontId="5" fillId="2" borderId="19" xfId="1" applyFont="1" applyFill="1" applyBorder="1" applyAlignment="1" applyProtection="1">
      <alignment horizontal="center" vertical="center" wrapText="1"/>
      <protection hidden="1"/>
    </xf>
    <xf numFmtId="0" fontId="5" fillId="2" borderId="21" xfId="1" applyFont="1" applyFill="1" applyBorder="1" applyAlignment="1" applyProtection="1">
      <alignment horizontal="center" vertical="center" wrapText="1"/>
      <protection hidden="1"/>
    </xf>
    <xf numFmtId="0" fontId="5" fillId="2" borderId="30" xfId="1" applyFont="1" applyFill="1" applyBorder="1" applyAlignment="1" applyProtection="1">
      <alignment horizontal="center" vertical="center" wrapText="1"/>
      <protection hidden="1"/>
    </xf>
    <xf numFmtId="0" fontId="5" fillId="2" borderId="32" xfId="1" applyFont="1" applyFill="1" applyBorder="1" applyAlignment="1" applyProtection="1">
      <alignment horizontal="center" vertical="center" wrapText="1"/>
      <protection hidden="1"/>
    </xf>
    <xf numFmtId="0" fontId="38" fillId="3" borderId="80" xfId="0" applyFont="1" applyFill="1" applyBorder="1" applyAlignment="1" applyProtection="1">
      <alignment horizontal="center" vertical="center"/>
      <protection hidden="1"/>
    </xf>
    <xf numFmtId="0" fontId="32" fillId="3" borderId="81" xfId="0" applyFont="1" applyFill="1" applyBorder="1" applyAlignment="1">
      <alignment horizontal="center" vertical="center"/>
    </xf>
    <xf numFmtId="0" fontId="32" fillId="3" borderId="82" xfId="0" applyFont="1" applyFill="1" applyBorder="1" applyAlignment="1">
      <alignment horizontal="center" vertical="center"/>
    </xf>
    <xf numFmtId="0" fontId="35" fillId="0" borderId="28" xfId="0" applyFont="1" applyBorder="1" applyAlignment="1">
      <alignment horizontal="center"/>
    </xf>
    <xf numFmtId="0" fontId="35" fillId="0" borderId="29" xfId="0" applyFont="1" applyBorder="1" applyAlignment="1">
      <alignment horizontal="center"/>
    </xf>
    <xf numFmtId="0" fontId="9" fillId="3" borderId="23" xfId="0" applyFont="1" applyFill="1" applyBorder="1" applyAlignment="1" applyProtection="1">
      <alignment horizontal="center" vertical="center"/>
      <protection hidden="1"/>
    </xf>
    <xf numFmtId="0" fontId="9" fillId="3" borderId="28" xfId="0" applyFont="1" applyFill="1" applyBorder="1" applyAlignment="1">
      <alignment horizontal="center" vertical="center"/>
    </xf>
    <xf numFmtId="0" fontId="9" fillId="3" borderId="29" xfId="0" applyFont="1" applyFill="1" applyBorder="1" applyAlignment="1">
      <alignment horizontal="center" vertical="center"/>
    </xf>
    <xf numFmtId="0" fontId="16" fillId="3" borderId="19" xfId="0" applyFont="1" applyFill="1" applyBorder="1" applyAlignment="1" applyProtection="1">
      <alignment horizontal="center" vertical="center" wrapText="1"/>
      <protection hidden="1"/>
    </xf>
    <xf numFmtId="0" fontId="16" fillId="3" borderId="20" xfId="0" applyFont="1" applyFill="1" applyBorder="1" applyAlignment="1" applyProtection="1">
      <alignment horizontal="center" vertical="center" wrapText="1"/>
      <protection hidden="1"/>
    </xf>
    <xf numFmtId="0" fontId="16" fillId="3" borderId="37" xfId="0" applyFont="1" applyFill="1" applyBorder="1" applyAlignment="1" applyProtection="1">
      <alignment horizontal="center" vertical="center" wrapText="1"/>
      <protection hidden="1"/>
    </xf>
    <xf numFmtId="0" fontId="16" fillId="3" borderId="17" xfId="0" applyFont="1" applyFill="1" applyBorder="1" applyAlignment="1" applyProtection="1">
      <alignment horizontal="center" vertical="center" wrapText="1"/>
      <protection hidden="1"/>
    </xf>
    <xf numFmtId="0" fontId="16" fillId="3" borderId="0" xfId="0" applyFont="1" applyFill="1" applyBorder="1" applyAlignment="1" applyProtection="1">
      <alignment horizontal="center" vertical="center" wrapText="1"/>
      <protection hidden="1"/>
    </xf>
    <xf numFmtId="0" fontId="16" fillId="3" borderId="4" xfId="0" applyFont="1" applyFill="1" applyBorder="1" applyAlignment="1" applyProtection="1">
      <alignment horizontal="center" vertical="center" wrapText="1"/>
      <protection hidden="1"/>
    </xf>
    <xf numFmtId="0" fontId="8" fillId="3" borderId="30" xfId="0" applyFont="1" applyFill="1" applyBorder="1" applyAlignment="1" applyProtection="1">
      <alignment horizontal="center" vertical="center" wrapText="1"/>
      <protection hidden="1"/>
    </xf>
    <xf numFmtId="0" fontId="8" fillId="3" borderId="31" xfId="0" applyFont="1" applyFill="1" applyBorder="1" applyAlignment="1" applyProtection="1">
      <alignment horizontal="center" vertical="center" wrapText="1"/>
      <protection hidden="1"/>
    </xf>
    <xf numFmtId="0" fontId="8" fillId="3" borderId="78" xfId="0" applyFont="1" applyFill="1" applyBorder="1" applyAlignment="1" applyProtection="1">
      <alignment horizontal="center" vertical="center" wrapText="1"/>
      <protection hidden="1"/>
    </xf>
    <xf numFmtId="0" fontId="37" fillId="3" borderId="22" xfId="0" applyFont="1" applyFill="1" applyBorder="1" applyAlignment="1" applyProtection="1">
      <alignment horizontal="center"/>
      <protection hidden="1"/>
    </xf>
    <xf numFmtId="0" fontId="37" fillId="3" borderId="28" xfId="0" applyFont="1" applyFill="1" applyBorder="1" applyAlignment="1">
      <alignment horizontal="center"/>
    </xf>
    <xf numFmtId="0" fontId="37" fillId="3" borderId="29" xfId="0" applyFont="1" applyFill="1" applyBorder="1" applyAlignment="1">
      <alignment horizontal="center"/>
    </xf>
    <xf numFmtId="0" fontId="4" fillId="2" borderId="83" xfId="1" applyFont="1" applyFill="1" applyBorder="1" applyAlignment="1" applyProtection="1">
      <alignment horizontal="center" vertical="center"/>
      <protection locked="0" hidden="1"/>
    </xf>
    <xf numFmtId="0" fontId="4" fillId="2" borderId="84" xfId="1" applyFont="1" applyFill="1" applyBorder="1" applyAlignment="1" applyProtection="1">
      <alignment horizontal="center" vertical="center"/>
      <protection locked="0" hidden="1"/>
    </xf>
    <xf numFmtId="0" fontId="12" fillId="5" borderId="3"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0" fillId="3" borderId="42" xfId="0" applyFill="1" applyBorder="1" applyAlignment="1">
      <alignment horizontal="center" vertical="center"/>
    </xf>
    <xf numFmtId="0" fontId="0" fillId="3" borderId="25" xfId="0" applyFill="1" applyBorder="1" applyAlignment="1">
      <alignment horizontal="center" vertical="center"/>
    </xf>
    <xf numFmtId="0" fontId="0" fillId="5" borderId="16" xfId="0" applyFill="1" applyBorder="1" applyAlignment="1">
      <alignment horizontal="center" vertical="center" wrapText="1"/>
    </xf>
    <xf numFmtId="166" fontId="10" fillId="4" borderId="34" xfId="0" applyNumberFormat="1" applyFont="1" applyFill="1" applyBorder="1" applyAlignment="1" applyProtection="1">
      <alignment horizontal="center" vertical="center"/>
      <protection locked="0" hidden="1"/>
    </xf>
    <xf numFmtId="166" fontId="10" fillId="4" borderId="36" xfId="0" applyNumberFormat="1" applyFont="1" applyFill="1" applyBorder="1" applyAlignment="1" applyProtection="1">
      <alignment horizontal="center" vertical="center"/>
      <protection locked="0" hidden="1"/>
    </xf>
    <xf numFmtId="0" fontId="12" fillId="5" borderId="17" xfId="0" applyFont="1" applyFill="1" applyBorder="1" applyAlignment="1">
      <alignment horizontal="center" vertical="center" wrapText="1"/>
    </xf>
    <xf numFmtId="0" fontId="0" fillId="0" borderId="0" xfId="0"/>
    <xf numFmtId="0" fontId="0" fillId="0" borderId="16" xfId="0" applyBorder="1"/>
    <xf numFmtId="0" fontId="0" fillId="0" borderId="17" xfId="0" applyBorder="1"/>
    <xf numFmtId="1" fontId="10" fillId="2" borderId="34" xfId="0" applyNumberFormat="1" applyFont="1" applyFill="1" applyBorder="1" applyAlignment="1">
      <alignment horizontal="center" vertical="center"/>
    </xf>
    <xf numFmtId="1" fontId="10" fillId="2" borderId="36" xfId="0" applyNumberFormat="1" applyFont="1" applyFill="1" applyBorder="1" applyAlignment="1">
      <alignment horizontal="center" vertical="center"/>
    </xf>
    <xf numFmtId="0" fontId="4" fillId="2" borderId="85" xfId="1" applyFont="1" applyFill="1" applyBorder="1" applyAlignment="1" applyProtection="1">
      <alignment horizontal="center" vertical="center" wrapText="1"/>
    </xf>
    <xf numFmtId="0" fontId="4" fillId="2" borderId="86" xfId="1" applyFont="1" applyFill="1" applyBorder="1" applyAlignment="1" applyProtection="1">
      <alignment horizontal="center" vertical="center" wrapText="1"/>
    </xf>
    <xf numFmtId="0" fontId="4" fillId="2" borderId="87" xfId="1" applyFont="1" applyFill="1" applyBorder="1" applyAlignment="1" applyProtection="1">
      <alignment horizontal="center" vertical="center" wrapText="1"/>
    </xf>
    <xf numFmtId="0" fontId="4" fillId="2" borderId="68" xfId="1" applyFont="1" applyFill="1" applyBorder="1" applyAlignment="1" applyProtection="1">
      <alignment horizontal="center" vertical="center" wrapText="1"/>
    </xf>
    <xf numFmtId="0" fontId="4" fillId="0" borderId="86" xfId="1" applyFont="1" applyBorder="1" applyAlignment="1" applyProtection="1">
      <alignment horizontal="center" vertical="center" wrapText="1"/>
    </xf>
    <xf numFmtId="0" fontId="4" fillId="0" borderId="87" xfId="1" applyFont="1" applyBorder="1" applyAlignment="1" applyProtection="1">
      <alignment horizontal="center" vertical="center" wrapText="1"/>
    </xf>
    <xf numFmtId="0" fontId="4" fillId="2" borderId="5" xfId="1" applyFont="1" applyFill="1" applyBorder="1" applyAlignment="1" applyProtection="1">
      <alignment horizontal="center" vertical="center" wrapText="1"/>
    </xf>
    <xf numFmtId="0" fontId="4" fillId="0" borderId="6" xfId="1" applyFont="1" applyBorder="1" applyAlignment="1" applyProtection="1">
      <alignment horizontal="center" vertical="center" wrapText="1"/>
    </xf>
    <xf numFmtId="0" fontId="4" fillId="0" borderId="7" xfId="1" applyFont="1" applyBorder="1" applyAlignment="1" applyProtection="1">
      <alignment horizontal="center" vertical="center" wrapText="1"/>
    </xf>
    <xf numFmtId="0" fontId="4" fillId="0" borderId="8" xfId="1" applyFont="1" applyBorder="1" applyAlignment="1" applyProtection="1">
      <alignment horizontal="center" vertical="center" wrapText="1"/>
    </xf>
    <xf numFmtId="0" fontId="19" fillId="3" borderId="88" xfId="0" applyFont="1" applyFill="1" applyBorder="1" applyAlignment="1">
      <alignment horizontal="center" vertical="center" wrapText="1"/>
    </xf>
    <xf numFmtId="0" fontId="0" fillId="3" borderId="61" xfId="0" applyFill="1" applyBorder="1" applyAlignment="1">
      <alignment horizontal="center" vertical="center" wrapText="1"/>
    </xf>
    <xf numFmtId="0" fontId="0" fillId="3" borderId="89" xfId="0" applyFill="1" applyBorder="1" applyAlignment="1">
      <alignment horizontal="center" vertical="center" wrapText="1"/>
    </xf>
    <xf numFmtId="0" fontId="0" fillId="3" borderId="90" xfId="0" applyFill="1" applyBorder="1" applyAlignment="1">
      <alignment horizontal="center" vertical="center" wrapText="1"/>
    </xf>
    <xf numFmtId="0" fontId="0" fillId="3" borderId="91" xfId="0" applyFill="1" applyBorder="1" applyAlignment="1">
      <alignment horizontal="center" vertical="center" wrapText="1"/>
    </xf>
    <xf numFmtId="0" fontId="8" fillId="5" borderId="3" xfId="0" applyFont="1" applyFill="1" applyBorder="1" applyAlignment="1">
      <alignment horizontal="center" vertical="center"/>
    </xf>
    <xf numFmtId="0" fontId="8" fillId="5" borderId="0" xfId="0" applyFont="1" applyFill="1" applyBorder="1" applyAlignment="1">
      <alignment horizontal="center" vertical="center"/>
    </xf>
    <xf numFmtId="0" fontId="8" fillId="5" borderId="4"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66" xfId="0" applyFont="1" applyFill="1" applyBorder="1" applyAlignment="1">
      <alignment horizontal="center" vertical="center"/>
    </xf>
    <xf numFmtId="0" fontId="10" fillId="3" borderId="65" xfId="0" applyFont="1" applyFill="1" applyBorder="1" applyAlignment="1">
      <alignment horizontal="center" vertical="center"/>
    </xf>
    <xf numFmtId="0" fontId="23" fillId="3" borderId="47" xfId="1" applyFont="1" applyFill="1" applyBorder="1" applyAlignment="1" applyProtection="1">
      <alignment horizontal="center" vertical="center" wrapText="1"/>
      <protection hidden="1"/>
    </xf>
    <xf numFmtId="0" fontId="23" fillId="3" borderId="48" xfId="1" applyFont="1" applyFill="1" applyBorder="1" applyAlignment="1" applyProtection="1">
      <alignment horizontal="center" vertical="center" wrapText="1"/>
      <protection hidden="1"/>
    </xf>
    <xf numFmtId="0" fontId="23" fillId="3" borderId="49" xfId="1" applyFont="1" applyFill="1" applyBorder="1" applyAlignment="1" applyProtection="1">
      <alignment horizontal="center" vertical="center" wrapText="1"/>
      <protection hidden="1"/>
    </xf>
    <xf numFmtId="0" fontId="23" fillId="3" borderId="3" xfId="1" applyFont="1" applyFill="1" applyBorder="1" applyAlignment="1" applyProtection="1">
      <alignment horizontal="center" vertical="center" wrapText="1"/>
      <protection hidden="1"/>
    </xf>
    <xf numFmtId="0" fontId="23" fillId="3" borderId="0" xfId="1" applyFont="1" applyFill="1" applyBorder="1" applyAlignment="1" applyProtection="1">
      <alignment horizontal="center" vertical="center" wrapText="1"/>
      <protection hidden="1"/>
    </xf>
    <xf numFmtId="0" fontId="23" fillId="3" borderId="4" xfId="1" applyFont="1" applyFill="1" applyBorder="1" applyAlignment="1" applyProtection="1">
      <alignment horizontal="center" vertical="center" wrapText="1"/>
      <protection hidden="1"/>
    </xf>
    <xf numFmtId="0" fontId="23" fillId="3" borderId="13" xfId="1" applyFont="1" applyFill="1" applyBorder="1" applyAlignment="1" applyProtection="1">
      <alignment horizontal="center" vertical="center" wrapText="1"/>
      <protection hidden="1"/>
    </xf>
    <xf numFmtId="0" fontId="23" fillId="3" borderId="14" xfId="1" applyFont="1" applyFill="1" applyBorder="1" applyAlignment="1" applyProtection="1">
      <alignment horizontal="center" vertical="center" wrapText="1"/>
      <protection hidden="1"/>
    </xf>
    <xf numFmtId="0" fontId="23" fillId="3" borderId="15" xfId="1" applyFont="1" applyFill="1" applyBorder="1" applyAlignment="1" applyProtection="1">
      <alignment horizontal="center" vertical="center" wrapText="1"/>
      <protection hidden="1"/>
    </xf>
    <xf numFmtId="0" fontId="0" fillId="11" borderId="92" xfId="0" applyFill="1" applyBorder="1" applyAlignment="1">
      <alignment horizontal="center" vertical="center"/>
    </xf>
    <xf numFmtId="0" fontId="0" fillId="11" borderId="93" xfId="0" applyFill="1" applyBorder="1" applyAlignment="1">
      <alignment horizontal="center" vertical="center"/>
    </xf>
    <xf numFmtId="0" fontId="0" fillId="11" borderId="94" xfId="0" applyFill="1" applyBorder="1" applyAlignment="1">
      <alignment horizontal="center" vertical="center"/>
    </xf>
    <xf numFmtId="0" fontId="4" fillId="2" borderId="59" xfId="1" applyFont="1" applyFill="1" applyBorder="1" applyAlignment="1" applyProtection="1">
      <alignment horizontal="center" vertical="center" wrapText="1"/>
      <protection locked="0" hidden="1"/>
    </xf>
    <xf numFmtId="0" fontId="4" fillId="2" borderId="86" xfId="1" applyFont="1" applyFill="1" applyBorder="1" applyAlignment="1" applyProtection="1">
      <alignment horizontal="center" vertical="center" wrapText="1"/>
      <protection locked="0" hidden="1"/>
    </xf>
    <xf numFmtId="0" fontId="4" fillId="2" borderId="9" xfId="1" applyFont="1" applyFill="1" applyBorder="1" applyAlignment="1" applyProtection="1">
      <alignment horizontal="center" vertical="center" wrapText="1"/>
      <protection locked="0" hidden="1"/>
    </xf>
    <xf numFmtId="0" fontId="4" fillId="2" borderId="68" xfId="1" applyFont="1" applyFill="1" applyBorder="1" applyAlignment="1" applyProtection="1">
      <alignment horizontal="center" vertical="center" wrapText="1"/>
      <protection locked="0" hidden="1"/>
    </xf>
    <xf numFmtId="0" fontId="4" fillId="2" borderId="85" xfId="1" applyFont="1" applyFill="1" applyBorder="1" applyAlignment="1" applyProtection="1">
      <alignment horizontal="center" vertical="center"/>
    </xf>
    <xf numFmtId="0" fontId="4" fillId="2" borderId="86" xfId="1" applyFont="1" applyFill="1" applyBorder="1" applyAlignment="1" applyProtection="1">
      <alignment horizontal="center" vertical="center"/>
    </xf>
    <xf numFmtId="0" fontId="4" fillId="2" borderId="87" xfId="1" applyFont="1" applyFill="1" applyBorder="1" applyAlignment="1" applyProtection="1">
      <alignment horizontal="center" vertical="center"/>
    </xf>
    <xf numFmtId="0" fontId="4" fillId="2" borderId="68" xfId="1" applyFont="1" applyFill="1" applyBorder="1" applyAlignment="1" applyProtection="1">
      <alignment horizontal="center" vertical="center"/>
    </xf>
    <xf numFmtId="0" fontId="5" fillId="2" borderId="5" xfId="1" applyFont="1" applyFill="1" applyBorder="1" applyAlignment="1" applyProtection="1">
      <alignment horizontal="center" vertical="center" wrapText="1"/>
    </xf>
    <xf numFmtId="0" fontId="5" fillId="2" borderId="86"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wrapText="1"/>
    </xf>
    <xf numFmtId="0" fontId="5" fillId="2" borderId="68" xfId="1" applyFont="1" applyFill="1" applyBorder="1" applyAlignment="1" applyProtection="1">
      <alignment horizontal="center" vertical="center" wrapText="1"/>
    </xf>
    <xf numFmtId="166" fontId="10" fillId="2" borderId="34" xfId="0" applyNumberFormat="1" applyFont="1" applyFill="1" applyBorder="1" applyAlignment="1">
      <alignment horizontal="center" vertical="center"/>
    </xf>
    <xf numFmtId="166" fontId="0" fillId="2" borderId="36" xfId="0" applyNumberFormat="1" applyFill="1" applyBorder="1" applyAlignment="1">
      <alignment horizontal="center" vertical="center"/>
    </xf>
    <xf numFmtId="0" fontId="10" fillId="4" borderId="34" xfId="0" applyFont="1" applyFill="1" applyBorder="1" applyAlignment="1" applyProtection="1">
      <alignment horizontal="center" vertical="center"/>
      <protection locked="0" hidden="1"/>
    </xf>
    <xf numFmtId="0" fontId="10" fillId="4" borderId="36" xfId="0" applyFont="1" applyFill="1" applyBorder="1" applyAlignment="1" applyProtection="1">
      <alignment horizontal="center" vertical="center"/>
      <protection locked="0" hidden="1"/>
    </xf>
    <xf numFmtId="0" fontId="10" fillId="3" borderId="35" xfId="0" applyFont="1" applyFill="1" applyBorder="1" applyAlignment="1">
      <alignment horizontal="center" vertical="center" wrapText="1"/>
    </xf>
    <xf numFmtId="0" fontId="0" fillId="3" borderId="66" xfId="0" applyFill="1" applyBorder="1" applyAlignment="1">
      <alignment horizontal="center" vertical="center" wrapText="1"/>
    </xf>
    <xf numFmtId="0" fontId="0" fillId="3" borderId="65" xfId="0" applyFill="1" applyBorder="1" applyAlignment="1">
      <alignment horizontal="center" vertical="center" wrapText="1"/>
    </xf>
    <xf numFmtId="166" fontId="19" fillId="4" borderId="19" xfId="0" applyNumberFormat="1" applyFont="1" applyFill="1" applyBorder="1" applyAlignment="1" applyProtection="1">
      <alignment horizontal="center" vertical="center"/>
      <protection locked="0" hidden="1"/>
    </xf>
    <xf numFmtId="166" fontId="19" fillId="4" borderId="21" xfId="0" applyNumberFormat="1" applyFont="1" applyFill="1" applyBorder="1" applyAlignment="1" applyProtection="1">
      <alignment horizontal="center" vertical="center"/>
      <protection locked="0" hidden="1"/>
    </xf>
    <xf numFmtId="166" fontId="19" fillId="4" borderId="30" xfId="0" applyNumberFormat="1" applyFont="1" applyFill="1" applyBorder="1" applyAlignment="1" applyProtection="1">
      <alignment horizontal="center" vertical="center"/>
      <protection locked="0" hidden="1"/>
    </xf>
    <xf numFmtId="166" fontId="19" fillId="4" borderId="32" xfId="0" applyNumberFormat="1" applyFont="1" applyFill="1" applyBorder="1" applyAlignment="1" applyProtection="1">
      <alignment horizontal="center" vertical="center"/>
      <protection locked="0" hidden="1"/>
    </xf>
    <xf numFmtId="0" fontId="19" fillId="12" borderId="97" xfId="0" applyFont="1" applyFill="1" applyBorder="1" applyAlignment="1" applyProtection="1">
      <alignment horizontal="center" vertical="center"/>
      <protection hidden="1"/>
    </xf>
    <xf numFmtId="0" fontId="19" fillId="12" borderId="117" xfId="0" applyFont="1" applyFill="1" applyBorder="1" applyAlignment="1" applyProtection="1">
      <alignment horizontal="center" vertical="center"/>
      <protection hidden="1"/>
    </xf>
    <xf numFmtId="0" fontId="19" fillId="12" borderId="99" xfId="0" applyFont="1" applyFill="1" applyBorder="1" applyAlignment="1" applyProtection="1">
      <alignment horizontal="center" vertical="center"/>
      <protection hidden="1"/>
    </xf>
    <xf numFmtId="0" fontId="19" fillId="12" borderId="118" xfId="0" applyFont="1" applyFill="1" applyBorder="1" applyAlignment="1" applyProtection="1">
      <alignment horizontal="center" vertical="center"/>
      <protection hidden="1"/>
    </xf>
    <xf numFmtId="0" fontId="4" fillId="2" borderId="95" xfId="1" applyFont="1" applyFill="1" applyBorder="1" applyAlignment="1" applyProtection="1">
      <alignment horizontal="center" vertical="center" wrapText="1"/>
      <protection hidden="1"/>
    </xf>
    <xf numFmtId="0" fontId="4" fillId="2" borderId="96" xfId="1" applyFont="1" applyFill="1" applyBorder="1" applyAlignment="1" applyProtection="1">
      <alignment horizontal="center" vertical="center" wrapText="1"/>
    </xf>
    <xf numFmtId="0" fontId="4" fillId="2" borderId="96" xfId="1" applyFont="1" applyFill="1" applyBorder="1" applyAlignment="1" applyProtection="1">
      <alignment horizontal="center" vertical="center" wrapText="1"/>
      <protection hidden="1"/>
    </xf>
    <xf numFmtId="0" fontId="5" fillId="2" borderId="95" xfId="1" applyFont="1" applyFill="1" applyBorder="1" applyAlignment="1" applyProtection="1">
      <alignment horizontal="center" vertical="center" wrapText="1"/>
      <protection hidden="1"/>
    </xf>
    <xf numFmtId="0" fontId="5" fillId="2" borderId="96" xfId="1" applyFont="1" applyFill="1" applyBorder="1" applyAlignment="1" applyProtection="1">
      <alignment horizontal="center" vertical="center" wrapText="1"/>
      <protection hidden="1"/>
    </xf>
    <xf numFmtId="0" fontId="11" fillId="5" borderId="17" xfId="0" applyFont="1" applyFill="1" applyBorder="1" applyAlignment="1" applyProtection="1">
      <alignment horizontal="left" vertical="center"/>
      <protection hidden="1"/>
    </xf>
    <xf numFmtId="164" fontId="19" fillId="4" borderId="19" xfId="0" applyNumberFormat="1" applyFont="1" applyFill="1" applyBorder="1" applyAlignment="1" applyProtection="1">
      <alignment horizontal="center" vertical="center"/>
      <protection locked="0" hidden="1"/>
    </xf>
    <xf numFmtId="164" fontId="19" fillId="4" borderId="21" xfId="0" applyNumberFormat="1" applyFont="1" applyFill="1" applyBorder="1" applyAlignment="1" applyProtection="1">
      <alignment horizontal="center" vertical="center"/>
      <protection locked="0" hidden="1"/>
    </xf>
    <xf numFmtId="164" fontId="19" fillId="4" borderId="30" xfId="0" applyNumberFormat="1" applyFont="1" applyFill="1" applyBorder="1" applyAlignment="1" applyProtection="1">
      <alignment horizontal="center" vertical="center"/>
      <protection locked="0" hidden="1"/>
    </xf>
    <xf numFmtId="164" fontId="19" fillId="4" borderId="32" xfId="0" applyNumberFormat="1" applyFont="1" applyFill="1" applyBorder="1" applyAlignment="1" applyProtection="1">
      <alignment horizontal="center" vertical="center"/>
      <protection locked="0" hidden="1"/>
    </xf>
    <xf numFmtId="0" fontId="0" fillId="12" borderId="98" xfId="0" applyFill="1" applyBorder="1" applyAlignment="1" applyProtection="1">
      <alignment horizontal="center" vertical="center"/>
      <protection hidden="1"/>
    </xf>
    <xf numFmtId="0" fontId="0" fillId="12" borderId="99" xfId="0" applyFill="1" applyBorder="1" applyAlignment="1" applyProtection="1">
      <alignment horizontal="center" vertical="center"/>
      <protection hidden="1"/>
    </xf>
    <xf numFmtId="0" fontId="0" fillId="12" borderId="100" xfId="0" applyFill="1" applyBorder="1" applyAlignment="1" applyProtection="1">
      <alignment horizontal="center" vertical="center"/>
      <protection hidden="1"/>
    </xf>
    <xf numFmtId="170" fontId="8" fillId="7" borderId="101" xfId="0" applyNumberFormat="1" applyFont="1" applyFill="1" applyBorder="1" applyAlignment="1" applyProtection="1">
      <alignment horizontal="center" vertical="center"/>
      <protection hidden="1"/>
    </xf>
    <xf numFmtId="170" fontId="9" fillId="7" borderId="102" xfId="0" applyNumberFormat="1" applyFont="1" applyFill="1" applyBorder="1" applyAlignment="1" applyProtection="1">
      <alignment horizontal="center" vertical="center"/>
      <protection hidden="1"/>
    </xf>
    <xf numFmtId="170" fontId="8" fillId="7" borderId="103" xfId="0" applyNumberFormat="1" applyFont="1" applyFill="1" applyBorder="1" applyAlignment="1" applyProtection="1">
      <alignment horizontal="center" vertical="center"/>
      <protection hidden="1"/>
    </xf>
    <xf numFmtId="170" fontId="9" fillId="7" borderId="104" xfId="0" applyNumberFormat="1" applyFont="1" applyFill="1" applyBorder="1" applyAlignment="1" applyProtection="1">
      <alignment horizontal="center" vertical="center"/>
      <protection hidden="1"/>
    </xf>
    <xf numFmtId="170" fontId="9" fillId="7" borderId="105" xfId="0" applyNumberFormat="1" applyFont="1" applyFill="1" applyBorder="1" applyAlignment="1" applyProtection="1">
      <alignment horizontal="center" vertical="center"/>
      <protection hidden="1"/>
    </xf>
    <xf numFmtId="170" fontId="9" fillId="7" borderId="106" xfId="0" applyNumberFormat="1" applyFont="1" applyFill="1" applyBorder="1" applyAlignment="1" applyProtection="1">
      <alignment horizontal="center" vertical="center"/>
      <protection hidden="1"/>
    </xf>
    <xf numFmtId="0" fontId="12" fillId="5" borderId="59" xfId="0" applyFont="1" applyFill="1" applyBorder="1" applyAlignment="1" applyProtection="1">
      <alignment horizontal="center" vertical="center" wrapText="1"/>
      <protection hidden="1"/>
    </xf>
    <xf numFmtId="0" fontId="12" fillId="5" borderId="5" xfId="0" applyFont="1" applyFill="1" applyBorder="1" applyAlignment="1" applyProtection="1">
      <alignment horizontal="center" vertical="center" wrapText="1"/>
      <protection hidden="1"/>
    </xf>
    <xf numFmtId="0" fontId="12" fillId="5" borderId="3" xfId="0" applyFont="1" applyFill="1" applyBorder="1" applyAlignment="1" applyProtection="1">
      <alignment horizontal="center" vertical="center" wrapText="1"/>
      <protection hidden="1"/>
    </xf>
    <xf numFmtId="0" fontId="12" fillId="5" borderId="0" xfId="0" applyFont="1" applyFill="1" applyBorder="1" applyAlignment="1" applyProtection="1">
      <alignment horizontal="center" vertical="center" wrapText="1"/>
      <protection hidden="1"/>
    </xf>
    <xf numFmtId="0" fontId="14" fillId="5" borderId="3"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8" fillId="4" borderId="107" xfId="0" applyFont="1" applyFill="1" applyBorder="1" applyAlignment="1" applyProtection="1">
      <alignment horizontal="center" vertical="center"/>
      <protection locked="0" hidden="1"/>
    </xf>
    <xf numFmtId="0" fontId="9" fillId="4" borderId="108" xfId="0" applyFont="1" applyFill="1" applyBorder="1" applyAlignment="1" applyProtection="1">
      <alignment horizontal="center" vertical="center"/>
      <protection locked="0" hidden="1"/>
    </xf>
    <xf numFmtId="0" fontId="9" fillId="4" borderId="109" xfId="0" applyFont="1" applyFill="1" applyBorder="1" applyAlignment="1" applyProtection="1">
      <alignment horizontal="center" vertical="center"/>
      <protection locked="0" hidden="1"/>
    </xf>
    <xf numFmtId="0" fontId="12" fillId="3" borderId="60" xfId="0" applyFont="1" applyFill="1" applyBorder="1" applyAlignment="1" applyProtection="1">
      <alignment horizontal="center" vertical="center" wrapText="1"/>
      <protection hidden="1"/>
    </xf>
    <xf numFmtId="0" fontId="12" fillId="3" borderId="61" xfId="0" applyFont="1" applyFill="1" applyBorder="1" applyAlignment="1" applyProtection="1">
      <alignment horizontal="center" vertical="center" wrapText="1"/>
      <protection hidden="1"/>
    </xf>
    <xf numFmtId="0" fontId="12" fillId="3" borderId="89" xfId="0" applyFont="1" applyFill="1" applyBorder="1" applyAlignment="1" applyProtection="1">
      <alignment horizontal="center" vertical="center" wrapText="1"/>
      <protection hidden="1"/>
    </xf>
    <xf numFmtId="0" fontId="12" fillId="3" borderId="63" xfId="0" applyFont="1" applyFill="1" applyBorder="1" applyAlignment="1" applyProtection="1">
      <alignment horizontal="center" vertical="center" wrapText="1"/>
      <protection hidden="1"/>
    </xf>
    <xf numFmtId="0" fontId="12" fillId="3" borderId="10" xfId="0" applyFont="1" applyFill="1" applyBorder="1" applyAlignment="1" applyProtection="1">
      <alignment horizontal="center" vertical="center" wrapText="1"/>
      <protection hidden="1"/>
    </xf>
    <xf numFmtId="0" fontId="12" fillId="3" borderId="91" xfId="0" applyFont="1" applyFill="1" applyBorder="1" applyAlignment="1" applyProtection="1">
      <alignment horizontal="center" vertical="center" wrapText="1"/>
      <protection hidden="1"/>
    </xf>
    <xf numFmtId="0" fontId="8" fillId="4" borderId="107" xfId="0" applyFont="1" applyFill="1" applyBorder="1" applyAlignment="1" applyProtection="1">
      <alignment horizontal="center" vertical="center" wrapText="1"/>
      <protection locked="0" hidden="1"/>
    </xf>
    <xf numFmtId="0" fontId="8" fillId="4" borderId="108" xfId="0" applyFont="1" applyFill="1" applyBorder="1" applyAlignment="1" applyProtection="1">
      <alignment horizontal="center" vertical="center" wrapText="1"/>
      <protection locked="0" hidden="1"/>
    </xf>
    <xf numFmtId="0" fontId="8" fillId="4" borderId="109" xfId="0" applyFont="1" applyFill="1" applyBorder="1" applyAlignment="1" applyProtection="1">
      <alignment horizontal="center" vertical="center" wrapText="1"/>
      <protection locked="0" hidden="1"/>
    </xf>
    <xf numFmtId="0" fontId="20" fillId="5" borderId="0" xfId="0" applyFont="1" applyFill="1" applyBorder="1" applyAlignment="1" applyProtection="1">
      <alignment horizontal="center" vertical="center"/>
      <protection hidden="1"/>
    </xf>
    <xf numFmtId="0" fontId="21" fillId="5" borderId="0" xfId="0" applyFont="1" applyFill="1" applyBorder="1" applyAlignment="1" applyProtection="1">
      <alignment horizontal="center" vertical="center"/>
      <protection hidden="1"/>
    </xf>
    <xf numFmtId="0" fontId="8" fillId="3" borderId="107" xfId="0" applyFont="1" applyFill="1" applyBorder="1" applyAlignment="1" applyProtection="1">
      <alignment horizontal="center" vertical="center" wrapText="1"/>
      <protection hidden="1"/>
    </xf>
    <xf numFmtId="0" fontId="8" fillId="3" borderId="108" xfId="0" applyFont="1" applyFill="1" applyBorder="1" applyAlignment="1" applyProtection="1">
      <alignment horizontal="center" vertical="center" wrapText="1"/>
      <protection hidden="1"/>
    </xf>
    <xf numFmtId="0" fontId="9" fillId="3" borderId="109" xfId="0" applyFont="1" applyFill="1" applyBorder="1" applyAlignment="1" applyProtection="1">
      <alignment horizontal="center" vertical="center" wrapText="1"/>
      <protection hidden="1"/>
    </xf>
    <xf numFmtId="0" fontId="8" fillId="3" borderId="107" xfId="0" applyFont="1" applyFill="1" applyBorder="1" applyAlignment="1" applyProtection="1">
      <alignment horizontal="center" vertical="center"/>
      <protection hidden="1"/>
    </xf>
    <xf numFmtId="0" fontId="9" fillId="3" borderId="108" xfId="0" applyFont="1" applyFill="1" applyBorder="1" applyAlignment="1" applyProtection="1">
      <alignment horizontal="center" vertical="center"/>
      <protection hidden="1"/>
    </xf>
    <xf numFmtId="0" fontId="9" fillId="3" borderId="109" xfId="0" applyFont="1" applyFill="1" applyBorder="1" applyAlignment="1" applyProtection="1">
      <alignment horizontal="center" vertical="center"/>
      <protection hidden="1"/>
    </xf>
    <xf numFmtId="0" fontId="8" fillId="3" borderId="88" xfId="0" applyFont="1" applyFill="1" applyBorder="1" applyAlignment="1" applyProtection="1">
      <alignment horizontal="center" vertical="center" wrapText="1"/>
      <protection hidden="1"/>
    </xf>
    <xf numFmtId="0" fontId="0" fillId="3" borderId="103" xfId="0" applyFill="1" applyBorder="1" applyAlignment="1">
      <alignment horizontal="center" vertical="center" wrapText="1"/>
    </xf>
    <xf numFmtId="0" fontId="0" fillId="3" borderId="110" xfId="0" applyFill="1" applyBorder="1" applyAlignment="1">
      <alignment horizontal="center" vertical="center" wrapText="1"/>
    </xf>
    <xf numFmtId="0" fontId="12" fillId="3" borderId="60" xfId="0" applyFont="1" applyFill="1" applyBorder="1" applyAlignment="1" applyProtection="1">
      <alignment horizontal="center" vertical="center"/>
      <protection hidden="1"/>
    </xf>
    <xf numFmtId="0" fontId="12" fillId="3" borderId="61" xfId="0" applyFont="1" applyFill="1" applyBorder="1" applyAlignment="1" applyProtection="1">
      <alignment horizontal="center" vertical="center"/>
      <protection hidden="1"/>
    </xf>
    <xf numFmtId="0" fontId="12" fillId="3" borderId="89" xfId="0" applyFont="1" applyFill="1" applyBorder="1" applyAlignment="1" applyProtection="1">
      <alignment horizontal="center" vertical="center"/>
      <protection hidden="1"/>
    </xf>
    <xf numFmtId="0" fontId="12" fillId="3" borderId="63" xfId="0" applyFont="1" applyFill="1" applyBorder="1" applyAlignment="1" applyProtection="1">
      <alignment horizontal="center" vertical="center"/>
      <protection hidden="1"/>
    </xf>
    <xf numFmtId="0" fontId="12" fillId="3" borderId="10" xfId="0" applyFont="1" applyFill="1" applyBorder="1" applyAlignment="1" applyProtection="1">
      <alignment horizontal="center" vertical="center"/>
      <protection hidden="1"/>
    </xf>
    <xf numFmtId="0" fontId="12" fillId="3" borderId="91" xfId="0" applyFont="1" applyFill="1" applyBorder="1" applyAlignment="1" applyProtection="1">
      <alignment horizontal="center" vertical="center"/>
      <protection hidden="1"/>
    </xf>
    <xf numFmtId="167" fontId="0" fillId="0" borderId="0" xfId="0" applyNumberFormat="1" applyAlignment="1"/>
    <xf numFmtId="0" fontId="3" fillId="3" borderId="59"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3" fillId="3" borderId="6"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0" xfId="0" applyFont="1" applyFill="1" applyBorder="1" applyAlignment="1" applyProtection="1">
      <alignment horizontal="center" vertical="center" wrapText="1"/>
      <protection hidden="1"/>
    </xf>
    <xf numFmtId="0" fontId="3" fillId="3" borderId="4" xfId="0" applyFont="1" applyFill="1" applyBorder="1" applyAlignment="1" applyProtection="1">
      <alignment horizontal="center" vertical="center" wrapText="1"/>
      <protection hidden="1"/>
    </xf>
    <xf numFmtId="0" fontId="0" fillId="3" borderId="56" xfId="0" applyFill="1" applyBorder="1" applyAlignment="1">
      <alignment horizontal="center" vertical="center" wrapText="1"/>
    </xf>
    <xf numFmtId="0" fontId="0" fillId="3" borderId="57" xfId="0" applyFill="1" applyBorder="1" applyAlignment="1">
      <alignment horizontal="center" vertical="center" wrapText="1"/>
    </xf>
    <xf numFmtId="0" fontId="0" fillId="3" borderId="58" xfId="0" applyFill="1" applyBorder="1" applyAlignment="1">
      <alignment horizontal="center" vertical="center" wrapText="1"/>
    </xf>
    <xf numFmtId="0" fontId="8" fillId="3" borderId="89" xfId="0" applyFont="1" applyFill="1" applyBorder="1" applyAlignment="1" applyProtection="1">
      <alignment horizontal="center" vertical="center" wrapText="1"/>
      <protection hidden="1"/>
    </xf>
    <xf numFmtId="0" fontId="8" fillId="3" borderId="103" xfId="0" applyFont="1" applyFill="1" applyBorder="1" applyAlignment="1" applyProtection="1">
      <alignment horizontal="center" vertical="center" wrapText="1"/>
      <protection hidden="1"/>
    </xf>
    <xf numFmtId="0" fontId="8" fillId="3" borderId="110" xfId="0" applyFont="1" applyFill="1" applyBorder="1" applyAlignment="1" applyProtection="1">
      <alignment horizontal="center" vertical="center" wrapText="1"/>
      <protection hidden="1"/>
    </xf>
    <xf numFmtId="0" fontId="9" fillId="3" borderId="90" xfId="0" applyFont="1" applyFill="1" applyBorder="1" applyAlignment="1" applyProtection="1">
      <alignment horizontal="center" vertical="center" wrapText="1"/>
      <protection hidden="1"/>
    </xf>
    <xf numFmtId="0" fontId="9" fillId="3" borderId="91" xfId="0" applyFont="1" applyFill="1" applyBorder="1" applyAlignment="1" applyProtection="1">
      <alignment horizontal="center" vertical="center" wrapText="1"/>
      <protection hidden="1"/>
    </xf>
    <xf numFmtId="164" fontId="3" fillId="7" borderId="111" xfId="0" applyNumberFormat="1" applyFont="1" applyFill="1" applyBorder="1" applyAlignment="1" applyProtection="1">
      <alignment horizontal="center" vertical="center"/>
      <protection hidden="1"/>
    </xf>
    <xf numFmtId="164" fontId="3" fillId="7" borderId="112" xfId="0" applyNumberFormat="1" applyFont="1" applyFill="1" applyBorder="1" applyAlignment="1" applyProtection="1">
      <alignment horizontal="center" vertical="center"/>
      <protection hidden="1"/>
    </xf>
    <xf numFmtId="164" fontId="3" fillId="7" borderId="113" xfId="0" applyNumberFormat="1" applyFont="1" applyFill="1" applyBorder="1" applyAlignment="1" applyProtection="1">
      <alignment horizontal="center" vertical="center"/>
      <protection hidden="1"/>
    </xf>
    <xf numFmtId="164" fontId="3" fillId="7" borderId="114" xfId="0" applyNumberFormat="1" applyFont="1" applyFill="1" applyBorder="1" applyAlignment="1" applyProtection="1">
      <alignment horizontal="center" vertical="center"/>
      <protection hidden="1"/>
    </xf>
    <xf numFmtId="164" fontId="3" fillId="7" borderId="115" xfId="0" applyNumberFormat="1" applyFont="1" applyFill="1" applyBorder="1" applyAlignment="1" applyProtection="1">
      <alignment horizontal="center" vertical="center"/>
      <protection hidden="1"/>
    </xf>
    <xf numFmtId="164" fontId="3" fillId="7" borderId="116" xfId="0" applyNumberFormat="1" applyFont="1" applyFill="1" applyBorder="1" applyAlignment="1" applyProtection="1">
      <alignment horizontal="center" vertical="center"/>
      <protection hidden="1"/>
    </xf>
    <xf numFmtId="166" fontId="3" fillId="7" borderId="111" xfId="0" applyNumberFormat="1" applyFont="1" applyFill="1" applyBorder="1" applyAlignment="1" applyProtection="1">
      <alignment horizontal="center" vertical="center"/>
      <protection hidden="1"/>
    </xf>
    <xf numFmtId="166" fontId="3" fillId="7" borderId="112" xfId="0" applyNumberFormat="1" applyFont="1" applyFill="1" applyBorder="1" applyAlignment="1" applyProtection="1">
      <alignment horizontal="center" vertical="center"/>
      <protection hidden="1"/>
    </xf>
    <xf numFmtId="166" fontId="3" fillId="7" borderId="113" xfId="0" applyNumberFormat="1" applyFont="1" applyFill="1" applyBorder="1" applyAlignment="1" applyProtection="1">
      <alignment horizontal="center" vertical="center"/>
      <protection hidden="1"/>
    </xf>
    <xf numFmtId="166" fontId="3" fillId="7" borderId="114" xfId="0" applyNumberFormat="1" applyFont="1" applyFill="1" applyBorder="1" applyAlignment="1" applyProtection="1">
      <alignment horizontal="center" vertical="center"/>
      <protection hidden="1"/>
    </xf>
    <xf numFmtId="166" fontId="7" fillId="7" borderId="115" xfId="0" applyNumberFormat="1" applyFont="1" applyFill="1" applyBorder="1" applyAlignment="1" applyProtection="1">
      <protection hidden="1"/>
    </xf>
    <xf numFmtId="166" fontId="7" fillId="7" borderId="116" xfId="0" applyNumberFormat="1" applyFont="1" applyFill="1" applyBorder="1" applyAlignment="1" applyProtection="1">
      <protection hidden="1"/>
    </xf>
    <xf numFmtId="0" fontId="15" fillId="3" borderId="60" xfId="0" applyFont="1" applyFill="1" applyBorder="1" applyAlignment="1" applyProtection="1">
      <alignment horizontal="center" vertical="center"/>
      <protection hidden="1"/>
    </xf>
    <xf numFmtId="0" fontId="15" fillId="3" borderId="61" xfId="0" applyFont="1" applyFill="1" applyBorder="1" applyAlignment="1" applyProtection="1">
      <alignment horizontal="center" vertical="center"/>
      <protection hidden="1"/>
    </xf>
    <xf numFmtId="0" fontId="15" fillId="3" borderId="89" xfId="0" applyFont="1" applyFill="1" applyBorder="1" applyAlignment="1" applyProtection="1">
      <alignment horizontal="center" vertical="center"/>
      <protection hidden="1"/>
    </xf>
    <xf numFmtId="0" fontId="15" fillId="3" borderId="63" xfId="0" applyFont="1" applyFill="1" applyBorder="1" applyAlignment="1" applyProtection="1">
      <alignment horizontal="center" vertical="center"/>
      <protection hidden="1"/>
    </xf>
    <xf numFmtId="0" fontId="15" fillId="3" borderId="10" xfId="0" applyFont="1" applyFill="1" applyBorder="1" applyAlignment="1" applyProtection="1">
      <alignment horizontal="center" vertical="center"/>
      <protection hidden="1"/>
    </xf>
    <xf numFmtId="0" fontId="15" fillId="3" borderId="91" xfId="0" applyFont="1" applyFill="1" applyBorder="1" applyAlignment="1" applyProtection="1">
      <alignment horizontal="center" vertical="center"/>
      <protection hidden="1"/>
    </xf>
    <xf numFmtId="0" fontId="9" fillId="3" borderId="89" xfId="0" applyFont="1" applyFill="1" applyBorder="1" applyAlignment="1" applyProtection="1">
      <alignment horizontal="center" vertical="center" wrapText="1"/>
      <protection hidden="1"/>
    </xf>
    <xf numFmtId="0" fontId="9" fillId="3" borderId="103" xfId="0" applyFont="1" applyFill="1" applyBorder="1" applyAlignment="1" applyProtection="1">
      <alignment horizontal="center" vertical="center" wrapText="1"/>
      <protection hidden="1"/>
    </xf>
    <xf numFmtId="0" fontId="9" fillId="3" borderId="110" xfId="0" applyFont="1" applyFill="1" applyBorder="1" applyAlignment="1" applyProtection="1">
      <alignment horizontal="center" vertical="center" wrapText="1"/>
      <protection hidden="1"/>
    </xf>
    <xf numFmtId="0" fontId="8" fillId="3" borderId="62" xfId="0" applyFont="1" applyFill="1" applyBorder="1" applyAlignment="1" applyProtection="1">
      <alignment horizontal="center" vertical="center" wrapText="1"/>
      <protection hidden="1"/>
    </xf>
    <xf numFmtId="0" fontId="8" fillId="3" borderId="4" xfId="0" applyFont="1" applyFill="1" applyBorder="1" applyAlignment="1" applyProtection="1">
      <alignment horizontal="center" vertical="center" wrapText="1"/>
      <protection hidden="1"/>
    </xf>
    <xf numFmtId="0" fontId="8" fillId="3" borderId="90" xfId="0" applyFont="1" applyFill="1" applyBorder="1" applyAlignment="1" applyProtection="1">
      <alignment horizontal="center" vertical="center" wrapText="1"/>
      <protection hidden="1"/>
    </xf>
    <xf numFmtId="0" fontId="8" fillId="3" borderId="11" xfId="0" applyFont="1" applyFill="1" applyBorder="1" applyAlignment="1" applyProtection="1">
      <alignment horizontal="center" vertical="center" wrapText="1"/>
      <protection hidden="1"/>
    </xf>
    <xf numFmtId="0" fontId="17" fillId="3" borderId="60" xfId="0" applyFont="1" applyFill="1" applyBorder="1" applyAlignment="1" applyProtection="1">
      <alignment horizontal="right" vertical="center" wrapText="1"/>
      <protection hidden="1"/>
    </xf>
    <xf numFmtId="0" fontId="18" fillId="3" borderId="61" xfId="0" applyFont="1" applyFill="1" applyBorder="1" applyAlignment="1" applyProtection="1">
      <alignment horizontal="right" vertical="center" wrapText="1"/>
      <protection hidden="1"/>
    </xf>
    <xf numFmtId="0" fontId="18" fillId="3" borderId="89" xfId="0" applyFont="1" applyFill="1" applyBorder="1" applyAlignment="1" applyProtection="1">
      <alignment horizontal="right" vertical="center" wrapText="1"/>
      <protection hidden="1"/>
    </xf>
    <xf numFmtId="0" fontId="18" fillId="3" borderId="3" xfId="0" applyFont="1" applyFill="1" applyBorder="1" applyAlignment="1" applyProtection="1">
      <alignment horizontal="right" vertical="center" wrapText="1"/>
      <protection hidden="1"/>
    </xf>
    <xf numFmtId="0" fontId="18" fillId="3" borderId="0" xfId="0" applyFont="1" applyFill="1" applyBorder="1" applyAlignment="1" applyProtection="1">
      <alignment horizontal="right" vertical="center" wrapText="1"/>
      <protection hidden="1"/>
    </xf>
    <xf numFmtId="0" fontId="18" fillId="3" borderId="110" xfId="0" applyFont="1" applyFill="1" applyBorder="1" applyAlignment="1" applyProtection="1">
      <alignment horizontal="right" vertical="center" wrapText="1"/>
      <protection hidden="1"/>
    </xf>
    <xf numFmtId="0" fontId="18" fillId="3" borderId="63" xfId="0" applyFont="1" applyFill="1" applyBorder="1" applyAlignment="1" applyProtection="1">
      <alignment horizontal="right" wrapText="1"/>
      <protection hidden="1"/>
    </xf>
    <xf numFmtId="0" fontId="18" fillId="3" borderId="10" xfId="0" applyFont="1" applyFill="1" applyBorder="1" applyAlignment="1" applyProtection="1">
      <alignment horizontal="right" wrapText="1"/>
      <protection hidden="1"/>
    </xf>
    <xf numFmtId="0" fontId="18" fillId="3" borderId="91" xfId="0" applyFont="1" applyFill="1" applyBorder="1" applyAlignment="1" applyProtection="1">
      <alignment horizontal="right" wrapText="1"/>
      <protection hidden="1"/>
    </xf>
    <xf numFmtId="2" fontId="3" fillId="7" borderId="111" xfId="0" applyNumberFormat="1" applyFont="1" applyFill="1" applyBorder="1" applyAlignment="1" applyProtection="1">
      <alignment horizontal="center" vertical="center"/>
      <protection hidden="1"/>
    </xf>
    <xf numFmtId="2" fontId="3" fillId="7" borderId="112" xfId="0" applyNumberFormat="1" applyFont="1" applyFill="1" applyBorder="1" applyAlignment="1" applyProtection="1">
      <alignment horizontal="center" vertical="center"/>
      <protection hidden="1"/>
    </xf>
    <xf numFmtId="2" fontId="3" fillId="7" borderId="113" xfId="0" applyNumberFormat="1" applyFont="1" applyFill="1" applyBorder="1" applyAlignment="1" applyProtection="1">
      <alignment horizontal="center" vertical="center"/>
      <protection hidden="1"/>
    </xf>
    <xf numFmtId="2" fontId="3" fillId="7" borderId="114" xfId="0" applyNumberFormat="1" applyFont="1" applyFill="1" applyBorder="1" applyAlignment="1" applyProtection="1">
      <alignment horizontal="center" vertical="center"/>
      <protection hidden="1"/>
    </xf>
    <xf numFmtId="2" fontId="7" fillId="7" borderId="115" xfId="0" applyNumberFormat="1" applyFont="1" applyFill="1" applyBorder="1" applyAlignment="1" applyProtection="1">
      <protection hidden="1"/>
    </xf>
    <xf numFmtId="2" fontId="7" fillId="7" borderId="116" xfId="0" applyNumberFormat="1" applyFont="1" applyFill="1" applyBorder="1" applyAlignment="1" applyProtection="1">
      <protection hidden="1"/>
    </xf>
    <xf numFmtId="0" fontId="8" fillId="4" borderId="76" xfId="0" applyFont="1" applyFill="1" applyBorder="1" applyAlignment="1" applyProtection="1">
      <alignment horizontal="center" vertical="center"/>
      <protection hidden="1"/>
    </xf>
    <xf numFmtId="0" fontId="8" fillId="4" borderId="25" xfId="0" applyFont="1" applyFill="1" applyBorder="1" applyAlignment="1" applyProtection="1">
      <alignment horizontal="center" vertical="center"/>
      <protection hidden="1"/>
    </xf>
    <xf numFmtId="0" fontId="8" fillId="4" borderId="75" xfId="0" applyFont="1" applyFill="1" applyBorder="1" applyAlignment="1" applyProtection="1">
      <alignment horizontal="center" vertical="center"/>
      <protection hidden="1"/>
    </xf>
    <xf numFmtId="0" fontId="16" fillId="3" borderId="35" xfId="0" applyFont="1" applyFill="1" applyBorder="1" applyAlignment="1" applyProtection="1">
      <alignment horizontal="center" vertical="center"/>
      <protection hidden="1"/>
    </xf>
    <xf numFmtId="0" fontId="16" fillId="3" borderId="66" xfId="0" applyFont="1" applyFill="1" applyBorder="1" applyAlignment="1" applyProtection="1">
      <alignment horizontal="center" vertical="center"/>
      <protection hidden="1"/>
    </xf>
    <xf numFmtId="0" fontId="16" fillId="3" borderId="65" xfId="0" applyFont="1" applyFill="1" applyBorder="1" applyAlignment="1" applyProtection="1">
      <alignment horizontal="center" vertical="center"/>
      <protection hidden="1"/>
    </xf>
    <xf numFmtId="169" fontId="15" fillId="7" borderId="67" xfId="0" applyNumberFormat="1" applyFont="1" applyFill="1" applyBorder="1" applyAlignment="1" applyProtection="1">
      <alignment horizontal="center" vertical="center"/>
      <protection hidden="1"/>
    </xf>
    <xf numFmtId="169" fontId="15" fillId="7" borderId="21" xfId="0" applyNumberFormat="1" applyFont="1" applyFill="1" applyBorder="1" applyAlignment="1" applyProtection="1">
      <alignment horizontal="center" vertical="center"/>
      <protection hidden="1"/>
    </xf>
    <xf numFmtId="169" fontId="15" fillId="7" borderId="73" xfId="0" applyNumberFormat="1" applyFont="1" applyFill="1" applyBorder="1" applyAlignment="1" applyProtection="1">
      <alignment horizontal="center" vertical="center"/>
      <protection hidden="1"/>
    </xf>
    <xf numFmtId="169" fontId="15" fillId="7" borderId="32" xfId="0" applyNumberFormat="1" applyFont="1" applyFill="1" applyBorder="1" applyAlignment="1" applyProtection="1">
      <alignment horizontal="center" vertical="center"/>
      <protection hidden="1"/>
    </xf>
    <xf numFmtId="0" fontId="12" fillId="5" borderId="5" xfId="0" applyFont="1" applyFill="1" applyBorder="1" applyAlignment="1" applyProtection="1">
      <alignment horizontal="center" vertical="center"/>
      <protection hidden="1"/>
    </xf>
    <xf numFmtId="0" fontId="12" fillId="5" borderId="0" xfId="0" applyFont="1" applyFill="1" applyBorder="1" applyAlignment="1" applyProtection="1">
      <alignment horizontal="center" vertical="center"/>
      <protection hidden="1"/>
    </xf>
    <xf numFmtId="3" fontId="15" fillId="7" borderId="19" xfId="0" applyNumberFormat="1" applyFont="1" applyFill="1" applyBorder="1" applyAlignment="1" applyProtection="1">
      <alignment horizontal="center" vertical="center"/>
      <protection hidden="1"/>
    </xf>
    <xf numFmtId="3" fontId="15" fillId="7" borderId="21" xfId="0" applyNumberFormat="1" applyFont="1" applyFill="1" applyBorder="1" applyAlignment="1" applyProtection="1">
      <alignment horizontal="center" vertical="center"/>
      <protection hidden="1"/>
    </xf>
    <xf numFmtId="3" fontId="15" fillId="7" borderId="30" xfId="0" applyNumberFormat="1" applyFont="1" applyFill="1" applyBorder="1" applyAlignment="1" applyProtection="1">
      <alignment horizontal="center" vertical="center"/>
      <protection hidden="1"/>
    </xf>
    <xf numFmtId="3" fontId="15" fillId="7" borderId="32" xfId="0" applyNumberFormat="1" applyFont="1" applyFill="1" applyBorder="1" applyAlignment="1" applyProtection="1">
      <alignment horizontal="center" vertical="center"/>
      <protection hidden="1"/>
    </xf>
    <xf numFmtId="169" fontId="15" fillId="7" borderId="19" xfId="0" applyNumberFormat="1" applyFont="1" applyFill="1" applyBorder="1" applyAlignment="1" applyProtection="1">
      <alignment horizontal="center" vertical="center"/>
      <protection hidden="1"/>
    </xf>
    <xf numFmtId="169" fontId="15" fillId="7" borderId="30" xfId="0" applyNumberFormat="1" applyFont="1" applyFill="1" applyBorder="1" applyAlignment="1" applyProtection="1">
      <alignment horizontal="center" vertical="center"/>
      <protection hidden="1"/>
    </xf>
    <xf numFmtId="0" fontId="11" fillId="3" borderId="19" xfId="0" applyFont="1" applyFill="1" applyBorder="1" applyAlignment="1" applyProtection="1">
      <alignment horizontal="center" vertical="center" wrapText="1"/>
      <protection hidden="1"/>
    </xf>
    <xf numFmtId="0" fontId="11" fillId="3" borderId="20" xfId="0" applyFont="1" applyFill="1" applyBorder="1" applyAlignment="1" applyProtection="1">
      <alignment horizontal="center" vertical="center" wrapText="1"/>
      <protection hidden="1"/>
    </xf>
    <xf numFmtId="0" fontId="11" fillId="3" borderId="21" xfId="0" applyFont="1" applyFill="1" applyBorder="1" applyAlignment="1" applyProtection="1">
      <alignment horizontal="center" vertical="center" wrapText="1"/>
      <protection hidden="1"/>
    </xf>
    <xf numFmtId="0" fontId="11" fillId="3" borderId="30" xfId="0" applyFont="1" applyFill="1" applyBorder="1" applyAlignment="1" applyProtection="1">
      <alignment horizontal="center" vertical="center" wrapText="1"/>
      <protection hidden="1"/>
    </xf>
    <xf numFmtId="0" fontId="11" fillId="3" borderId="31" xfId="0" applyFont="1" applyFill="1" applyBorder="1" applyAlignment="1" applyProtection="1">
      <alignment horizontal="center" vertical="center" wrapText="1"/>
      <protection hidden="1"/>
    </xf>
    <xf numFmtId="0" fontId="11" fillId="3" borderId="32" xfId="0" applyFont="1" applyFill="1" applyBorder="1" applyAlignment="1" applyProtection="1">
      <alignment horizontal="center" vertical="center" wrapText="1"/>
      <protection hidden="1"/>
    </xf>
    <xf numFmtId="0" fontId="12" fillId="4" borderId="34" xfId="0" applyFont="1" applyFill="1" applyBorder="1" applyAlignment="1" applyProtection="1">
      <alignment horizontal="center" vertical="center"/>
      <protection locked="0" hidden="1"/>
    </xf>
    <xf numFmtId="0" fontId="12" fillId="4" borderId="36" xfId="0" applyFont="1" applyFill="1" applyBorder="1" applyAlignment="1" applyProtection="1">
      <alignment horizontal="center" vertical="center"/>
      <protection locked="0" hidden="1"/>
    </xf>
    <xf numFmtId="2" fontId="15" fillId="7" borderId="19" xfId="0" applyNumberFormat="1" applyFont="1" applyFill="1" applyBorder="1" applyAlignment="1" applyProtection="1">
      <alignment horizontal="center" vertical="center"/>
      <protection hidden="1"/>
    </xf>
    <xf numFmtId="2" fontId="15" fillId="7" borderId="21" xfId="0" applyNumberFormat="1" applyFont="1" applyFill="1" applyBorder="1" applyAlignment="1" applyProtection="1">
      <alignment horizontal="center" vertical="center"/>
      <protection hidden="1"/>
    </xf>
    <xf numFmtId="2" fontId="15" fillId="7" borderId="30" xfId="0" applyNumberFormat="1" applyFont="1" applyFill="1" applyBorder="1" applyAlignment="1" applyProtection="1">
      <alignment horizontal="center" vertical="center"/>
      <protection hidden="1"/>
    </xf>
    <xf numFmtId="2" fontId="15" fillId="7" borderId="32" xfId="0" applyNumberFormat="1" applyFont="1" applyFill="1" applyBorder="1" applyAlignment="1" applyProtection="1">
      <alignment horizontal="center" vertical="center"/>
      <protection hidden="1"/>
    </xf>
    <xf numFmtId="0" fontId="10" fillId="5" borderId="17" xfId="0" applyFont="1" applyFill="1" applyBorder="1" applyAlignment="1" applyProtection="1">
      <alignment horizontal="left" vertical="center"/>
      <protection hidden="1"/>
    </xf>
    <xf numFmtId="0" fontId="12" fillId="7" borderId="34" xfId="0" applyFont="1" applyFill="1" applyBorder="1" applyAlignment="1" applyProtection="1">
      <alignment horizontal="center" vertical="center"/>
      <protection hidden="1"/>
    </xf>
    <xf numFmtId="0" fontId="12" fillId="7" borderId="36" xfId="0" applyFont="1" applyFill="1" applyBorder="1" applyAlignment="1" applyProtection="1">
      <alignment horizontal="center" vertical="center"/>
      <protection hidden="1"/>
    </xf>
    <xf numFmtId="0" fontId="11" fillId="5" borderId="119" xfId="0" applyFont="1" applyFill="1" applyBorder="1" applyAlignment="1" applyProtection="1">
      <alignment horizontal="left" vertical="center"/>
      <protection hidden="1"/>
    </xf>
    <xf numFmtId="0" fontId="13" fillId="0" borderId="119" xfId="0" applyFont="1" applyBorder="1" applyAlignment="1">
      <alignment horizontal="left" vertical="center"/>
    </xf>
    <xf numFmtId="0" fontId="5" fillId="2" borderId="120" xfId="1" applyFont="1" applyFill="1" applyBorder="1" applyAlignment="1" applyProtection="1">
      <alignment horizontal="center" vertical="center" wrapText="1"/>
      <protection hidden="1"/>
    </xf>
    <xf numFmtId="0" fontId="5" fillId="2" borderId="57" xfId="1" applyFont="1" applyFill="1" applyBorder="1" applyAlignment="1" applyProtection="1">
      <alignment horizontal="center" vertical="center" wrapText="1"/>
      <protection hidden="1"/>
    </xf>
    <xf numFmtId="0" fontId="3" fillId="3" borderId="47" xfId="0" applyFont="1" applyFill="1" applyBorder="1" applyAlignment="1" applyProtection="1">
      <alignment horizontal="center" vertical="center" wrapText="1"/>
      <protection hidden="1"/>
    </xf>
    <xf numFmtId="0" fontId="3" fillId="3" borderId="48" xfId="0" applyFont="1" applyFill="1" applyBorder="1" applyAlignment="1" applyProtection="1">
      <alignment horizontal="center" vertical="center" wrapText="1"/>
      <protection hidden="1"/>
    </xf>
    <xf numFmtId="0" fontId="3" fillId="3" borderId="49"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7" xfId="0" applyFont="1" applyFill="1" applyBorder="1" applyAlignment="1" applyProtection="1">
      <alignment horizontal="center" vertical="center" wrapText="1"/>
      <protection hidden="1"/>
    </xf>
    <xf numFmtId="0" fontId="3" fillId="3" borderId="8"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3" xfId="0" applyFont="1" applyFill="1" applyBorder="1" applyAlignment="1" applyProtection="1">
      <alignment horizontal="center" vertical="center" wrapText="1"/>
      <protection hidden="1"/>
    </xf>
    <xf numFmtId="0" fontId="7" fillId="3" borderId="0"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9"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wrapText="1"/>
      <protection hidden="1"/>
    </xf>
    <xf numFmtId="0" fontId="7" fillId="3" borderId="8" xfId="0" applyFont="1" applyFill="1" applyBorder="1" applyAlignment="1" applyProtection="1">
      <alignment horizontal="center" vertical="center" wrapText="1"/>
      <protection hidden="1"/>
    </xf>
    <xf numFmtId="1" fontId="12" fillId="4" borderId="34" xfId="0" applyNumberFormat="1" applyFont="1" applyFill="1" applyBorder="1" applyAlignment="1" applyProtection="1">
      <alignment horizontal="center" vertical="center"/>
      <protection locked="0" hidden="1"/>
    </xf>
    <xf numFmtId="0" fontId="12" fillId="4" borderId="34" xfId="0" applyFont="1" applyFill="1" applyBorder="1" applyAlignment="1" applyProtection="1">
      <alignment horizontal="center" vertical="center" wrapText="1"/>
      <protection locked="0" hidden="1"/>
    </xf>
    <xf numFmtId="0" fontId="12" fillId="4" borderId="36" xfId="0" applyFont="1" applyFill="1" applyBorder="1" applyAlignment="1" applyProtection="1">
      <alignment horizontal="center" vertical="center" wrapText="1"/>
      <protection locked="0" hidden="1"/>
    </xf>
    <xf numFmtId="0" fontId="9" fillId="4" borderId="25" xfId="0" applyFont="1" applyFill="1" applyBorder="1" applyAlignment="1" applyProtection="1">
      <alignment horizontal="center" vertical="center"/>
      <protection hidden="1"/>
    </xf>
    <xf numFmtId="0" fontId="9" fillId="4" borderId="75" xfId="0" applyFont="1" applyFill="1" applyBorder="1" applyAlignment="1" applyProtection="1">
      <alignment horizontal="center" vertical="center"/>
      <protection hidden="1"/>
    </xf>
    <xf numFmtId="0" fontId="4" fillId="2" borderId="0" xfId="1" applyFont="1" applyFill="1" applyBorder="1" applyAlignment="1" applyProtection="1">
      <alignment horizontal="center" vertical="center" wrapText="1"/>
      <protection hidden="1"/>
    </xf>
    <xf numFmtId="0" fontId="4" fillId="2" borderId="4" xfId="1" applyFont="1" applyFill="1" applyBorder="1" applyAlignment="1" applyProtection="1">
      <alignment horizontal="center" vertical="center" wrapText="1"/>
      <protection hidden="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jpeg"/><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9</xdr:col>
      <xdr:colOff>19050</xdr:colOff>
      <xdr:row>14</xdr:row>
      <xdr:rowOff>38100</xdr:rowOff>
    </xdr:from>
    <xdr:to>
      <xdr:col>11</xdr:col>
      <xdr:colOff>19050</xdr:colOff>
      <xdr:row>21</xdr:row>
      <xdr:rowOff>9525</xdr:rowOff>
    </xdr:to>
    <xdr:pic>
      <xdr:nvPicPr>
        <xdr:cNvPr id="4120" name="Picture 5">
          <a:extLst>
            <a:ext uri="{FF2B5EF4-FFF2-40B4-BE49-F238E27FC236}">
              <a16:creationId xmlns:a16="http://schemas.microsoft.com/office/drawing/2014/main" id="{9F3B6082-28A0-275F-02CE-6AEC6A702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5450" y="3171825"/>
          <a:ext cx="1219200" cy="1171575"/>
        </a:xfrm>
        <a:prstGeom prst="rect">
          <a:avLst/>
        </a:prstGeom>
        <a:noFill/>
        <a:ln w="222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600075</xdr:colOff>
      <xdr:row>38</xdr:row>
      <xdr:rowOff>9525</xdr:rowOff>
    </xdr:from>
    <xdr:to>
      <xdr:col>11</xdr:col>
      <xdr:colOff>76200</xdr:colOff>
      <xdr:row>44</xdr:row>
      <xdr:rowOff>133350</xdr:rowOff>
    </xdr:to>
    <xdr:pic>
      <xdr:nvPicPr>
        <xdr:cNvPr id="4121" name="Picture 11">
          <a:extLst>
            <a:ext uri="{FF2B5EF4-FFF2-40B4-BE49-F238E27FC236}">
              <a16:creationId xmlns:a16="http://schemas.microsoft.com/office/drawing/2014/main" id="{FDE41B07-0458-F144-637A-E44363B233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76875" y="6896100"/>
          <a:ext cx="1304925" cy="1152525"/>
        </a:xfrm>
        <a:prstGeom prst="rect">
          <a:avLst/>
        </a:prstGeom>
        <a:noFill/>
        <a:ln w="222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76200</xdr:colOff>
      <xdr:row>16</xdr:row>
      <xdr:rowOff>9525</xdr:rowOff>
    </xdr:from>
    <xdr:to>
      <xdr:col>10</xdr:col>
      <xdr:colOff>0</xdr:colOff>
      <xdr:row>21</xdr:row>
      <xdr:rowOff>95250</xdr:rowOff>
    </xdr:to>
    <xdr:pic>
      <xdr:nvPicPr>
        <xdr:cNvPr id="2065" name="Picture 7">
          <a:extLst>
            <a:ext uri="{FF2B5EF4-FFF2-40B4-BE49-F238E27FC236}">
              <a16:creationId xmlns:a16="http://schemas.microsoft.com/office/drawing/2014/main" id="{C9B15196-7765-CB64-264C-9FE1871A0C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43400" y="2724150"/>
          <a:ext cx="1752600" cy="895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66675</xdr:colOff>
          <xdr:row>16</xdr:row>
          <xdr:rowOff>9525</xdr:rowOff>
        </xdr:from>
        <xdr:to>
          <xdr:col>6</xdr:col>
          <xdr:colOff>514350</xdr:colOff>
          <xdr:row>21</xdr:row>
          <xdr:rowOff>104775</xdr:rowOff>
        </xdr:to>
        <xdr:sp macro="" textlink="">
          <xdr:nvSpPr>
            <xdr:cNvPr id="2053" name="Object 5" hidden="1">
              <a:extLst>
                <a:ext uri="{63B3BB69-23CF-44E3-9099-C40C66FF867C}">
                  <a14:compatExt spid="_x0000_s2053"/>
                </a:ext>
                <a:ext uri="{FF2B5EF4-FFF2-40B4-BE49-F238E27FC236}">
                  <a16:creationId xmlns:a16="http://schemas.microsoft.com/office/drawing/2014/main" id="{BE16F942-36FF-08F5-3DCE-242B2B3330EE}"/>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17</xdr:row>
          <xdr:rowOff>66675</xdr:rowOff>
        </xdr:from>
        <xdr:to>
          <xdr:col>9</xdr:col>
          <xdr:colOff>571500</xdr:colOff>
          <xdr:row>18</xdr:row>
          <xdr:rowOff>85725</xdr:rowOff>
        </xdr:to>
        <xdr:sp macro="" textlink="">
          <xdr:nvSpPr>
            <xdr:cNvPr id="2058" name="Object 10" hidden="1">
              <a:extLst>
                <a:ext uri="{63B3BB69-23CF-44E3-9099-C40C66FF867C}">
                  <a14:compatExt spid="_x0000_s2058"/>
                </a:ext>
                <a:ext uri="{FF2B5EF4-FFF2-40B4-BE49-F238E27FC236}">
                  <a16:creationId xmlns:a16="http://schemas.microsoft.com/office/drawing/2014/main" id="{4DE33C41-223F-7301-1613-82176843ED4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3</xdr:col>
      <xdr:colOff>57150</xdr:colOff>
      <xdr:row>6</xdr:row>
      <xdr:rowOff>123825</xdr:rowOff>
    </xdr:from>
    <xdr:to>
      <xdr:col>8</xdr:col>
      <xdr:colOff>476250</xdr:colOff>
      <xdr:row>11</xdr:row>
      <xdr:rowOff>152400</xdr:rowOff>
    </xdr:to>
    <xdr:pic>
      <xdr:nvPicPr>
        <xdr:cNvPr id="1053" name="Picture 1">
          <a:extLst>
            <a:ext uri="{FF2B5EF4-FFF2-40B4-BE49-F238E27FC236}">
              <a16:creationId xmlns:a16="http://schemas.microsoft.com/office/drawing/2014/main" id="{4766D271-7DE9-3F41-B115-ED401E56D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1038225"/>
          <a:ext cx="34194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285750</xdr:colOff>
      <xdr:row>6</xdr:row>
      <xdr:rowOff>57150</xdr:rowOff>
    </xdr:from>
    <xdr:to>
      <xdr:col>11</xdr:col>
      <xdr:colOff>542925</xdr:colOff>
      <xdr:row>12</xdr:row>
      <xdr:rowOff>28575</xdr:rowOff>
    </xdr:to>
    <xdr:pic>
      <xdr:nvPicPr>
        <xdr:cNvPr id="1054" name="Picture 2">
          <a:extLst>
            <a:ext uri="{FF2B5EF4-FFF2-40B4-BE49-F238E27FC236}">
              <a16:creationId xmlns:a16="http://schemas.microsoft.com/office/drawing/2014/main" id="{D77611DC-F469-1C64-26BC-B5A7B80424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86425" y="971550"/>
          <a:ext cx="14573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6</xdr:row>
      <xdr:rowOff>57150</xdr:rowOff>
    </xdr:from>
    <xdr:to>
      <xdr:col>2</xdr:col>
      <xdr:colOff>552450</xdr:colOff>
      <xdr:row>12</xdr:row>
      <xdr:rowOff>38100</xdr:rowOff>
    </xdr:to>
    <xdr:pic>
      <xdr:nvPicPr>
        <xdr:cNvPr id="1055" name="Picture 3">
          <a:extLst>
            <a:ext uri="{FF2B5EF4-FFF2-40B4-BE49-F238E27FC236}">
              <a16:creationId xmlns:a16="http://schemas.microsoft.com/office/drawing/2014/main" id="{F2BE5080-993B-27FD-76E5-6DB1EC08E3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971550"/>
          <a:ext cx="164782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64</xdr:row>
      <xdr:rowOff>66675</xdr:rowOff>
    </xdr:from>
    <xdr:to>
      <xdr:col>2</xdr:col>
      <xdr:colOff>495300</xdr:colOff>
      <xdr:row>71</xdr:row>
      <xdr:rowOff>0</xdr:rowOff>
    </xdr:to>
    <xdr:pic>
      <xdr:nvPicPr>
        <xdr:cNvPr id="1056" name="Picture 4">
          <a:extLst>
            <a:ext uri="{FF2B5EF4-FFF2-40B4-BE49-F238E27FC236}">
              <a16:creationId xmlns:a16="http://schemas.microsoft.com/office/drawing/2014/main" id="{80479697-25AA-BC09-0260-3182536B762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300" y="10572750"/>
          <a:ext cx="1581150" cy="1066800"/>
        </a:xfrm>
        <a:prstGeom prst="rect">
          <a:avLst/>
        </a:prstGeom>
        <a:noFill/>
        <a:ln w="317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oleObject" Target="../embeddings/oleObject2.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8" Type="http://schemas.openxmlformats.org/officeDocument/2006/relationships/hyperlink" Target="file:///C:\Documents%20and%20Settings\WXP\Local%20Settings\Temp\New%20Pandora%201.01.xls" TargetMode="External"/><Relationship Id="rId13" Type="http://schemas.openxmlformats.org/officeDocument/2006/relationships/printerSettings" Target="../printerSettings/printerSettings6.bin"/><Relationship Id="rId3" Type="http://schemas.openxmlformats.org/officeDocument/2006/relationships/hyperlink" Target="file:///C:\Documents%20and%20Settings\WXP\Local%20Settings\Temp\New%20Pandora%202%201.01.xls" TargetMode="External"/><Relationship Id="rId7" Type="http://schemas.openxmlformats.org/officeDocument/2006/relationships/hyperlink" Target="file:///C:\Documents%20and%20Settings\WXP\Local%20Settings\Temp\New%20Pandora%201.01.xls" TargetMode="External"/><Relationship Id="rId12" Type="http://schemas.openxmlformats.org/officeDocument/2006/relationships/hyperlink" Target="file:///C:\Documents%20and%20Settings\WXP\Local%20Settings\Temp\New%20Pandora%202%201.01.xls" TargetMode="External"/><Relationship Id="rId2" Type="http://schemas.openxmlformats.org/officeDocument/2006/relationships/hyperlink" Target="file:///C:\Documents%20and%20Settings\WXP\Local%20Settings\Temp\New%20Pandora%202%201.01.xls" TargetMode="External"/><Relationship Id="rId1" Type="http://schemas.openxmlformats.org/officeDocument/2006/relationships/hyperlink" Target="file:///C:\Documents%20and%20Settings\WXP\Local%20Settings\Temp\New%20Pandora%202%201.01.xls" TargetMode="External"/><Relationship Id="rId6" Type="http://schemas.openxmlformats.org/officeDocument/2006/relationships/hyperlink" Target="file:///C:\Documents%20and%20Settings\WXP\Local%20Settings\Temp\New%20Pandora%201.01.xls" TargetMode="External"/><Relationship Id="rId11" Type="http://schemas.openxmlformats.org/officeDocument/2006/relationships/hyperlink" Target="file:///C:\Documents%20and%20Settings\WXP\Local%20Settings\Temp\New%20Pandora%202%201.01.xls" TargetMode="External"/><Relationship Id="rId5" Type="http://schemas.openxmlformats.org/officeDocument/2006/relationships/hyperlink" Target="file:///C:\Documents%20and%20Settings\WXP\Local%20Settings\Temp\New%20Pandora%202%201.01.xls" TargetMode="External"/><Relationship Id="rId10" Type="http://schemas.openxmlformats.org/officeDocument/2006/relationships/hyperlink" Target="file:///C:\Documents%20and%20Settings\WXP\Local%20Settings\Temp\New%20Pandora%202%201.01.xls" TargetMode="External"/><Relationship Id="rId4" Type="http://schemas.openxmlformats.org/officeDocument/2006/relationships/hyperlink" Target="file:///C:\Documents%20and%20Settings\WXP\Local%20Settings\Temp\New%20Pandora%202%201.01.xls" TargetMode="External"/><Relationship Id="rId9" Type="http://schemas.openxmlformats.org/officeDocument/2006/relationships/hyperlink" Target="file:///C:\Documents%20and%20Settings\WXP\Local%20Settings\Temp\New%20Pandora%201.01.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file:///C:\Documents%20and%20Settings\WXP\Local%20Settings\Temp\New%20Pandora%202%201.01.xls" TargetMode="External"/><Relationship Id="rId3" Type="http://schemas.openxmlformats.org/officeDocument/2006/relationships/hyperlink" Target="file:///C:\Documents%20and%20Settings\WXP\Local%20Settings\Temp\New%20Pandora%201.01.xls" TargetMode="External"/><Relationship Id="rId7" Type="http://schemas.openxmlformats.org/officeDocument/2006/relationships/hyperlink" Target="file:///C:\Documents%20and%20Settings\WXP\Local%20Settings\Temp\New%20Pandora%202%201.01.xls" TargetMode="External"/><Relationship Id="rId2" Type="http://schemas.openxmlformats.org/officeDocument/2006/relationships/hyperlink" Target="file:///C:\Documents%20and%20Settings\WXP\Local%20Settings\Temp\New%20Pandora%201.01.xls" TargetMode="External"/><Relationship Id="rId1" Type="http://schemas.openxmlformats.org/officeDocument/2006/relationships/hyperlink" Target="file:///C:\Documents%20and%20Settings\WXP\Local%20Settings\Temp\New%20Pandora%201.01.xls" TargetMode="External"/><Relationship Id="rId6" Type="http://schemas.openxmlformats.org/officeDocument/2006/relationships/hyperlink" Target="file:///C:\Documents%20and%20Settings\WXP\Local%20Settings\Temp\New%20Pandora%202%201.01.xls" TargetMode="External"/><Relationship Id="rId5" Type="http://schemas.openxmlformats.org/officeDocument/2006/relationships/hyperlink" Target="file:///C:\Documents%20and%20Settings\WXP\Local%20Settings\Temp\New%20Pandora%202%201.01.xls" TargetMode="External"/><Relationship Id="rId10" Type="http://schemas.openxmlformats.org/officeDocument/2006/relationships/drawing" Target="../drawings/drawing3.xml"/><Relationship Id="rId4" Type="http://schemas.openxmlformats.org/officeDocument/2006/relationships/hyperlink" Target="file:///C:\Documents%20and%20Settings\WXP\Local%20Settings\Temp\New%20Pandora%201.01.xls" TargetMode="External"/><Relationship Id="rId9"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L93"/>
  <sheetViews>
    <sheetView showGridLines="0" showRowColHeaders="0" showOutlineSymbols="0" workbookViewId="0">
      <selection activeCell="E8" sqref="E8"/>
    </sheetView>
  </sheetViews>
  <sheetFormatPr defaultRowHeight="12.75" x14ac:dyDescent="0.15"/>
  <cols>
    <col min="6" max="6" width="11.59375" bestFit="1" customWidth="1"/>
    <col min="10" max="10" width="11.59375" bestFit="1" customWidth="1"/>
  </cols>
  <sheetData>
    <row r="1" spans="1:12" ht="13.5" thickTop="1" x14ac:dyDescent="0.15">
      <c r="A1" s="241" t="s">
        <v>219</v>
      </c>
      <c r="B1" s="242"/>
      <c r="C1" s="242"/>
      <c r="D1" s="242"/>
      <c r="E1" s="242"/>
      <c r="F1" s="242"/>
      <c r="G1" s="242"/>
      <c r="H1" s="242"/>
      <c r="I1" s="242"/>
      <c r="J1" s="242"/>
      <c r="K1" s="242"/>
      <c r="L1" s="243"/>
    </row>
    <row r="2" spans="1:12" x14ac:dyDescent="0.15">
      <c r="A2" s="244"/>
      <c r="B2" s="245"/>
      <c r="C2" s="245"/>
      <c r="D2" s="245"/>
      <c r="E2" s="245"/>
      <c r="F2" s="245"/>
      <c r="G2" s="245"/>
      <c r="H2" s="245"/>
      <c r="I2" s="245"/>
      <c r="J2" s="245"/>
      <c r="K2" s="245"/>
      <c r="L2" s="246"/>
    </row>
    <row r="3" spans="1:12" ht="13.5" thickBot="1" x14ac:dyDescent="0.2">
      <c r="A3" s="247"/>
      <c r="B3" s="248"/>
      <c r="C3" s="248"/>
      <c r="D3" s="248"/>
      <c r="E3" s="248"/>
      <c r="F3" s="248"/>
      <c r="G3" s="248"/>
      <c r="H3" s="248"/>
      <c r="I3" s="248"/>
      <c r="J3" s="248"/>
      <c r="K3" s="248"/>
      <c r="L3" s="249"/>
    </row>
    <row r="4" spans="1:12" ht="14.25" thickTop="1" thickBot="1" x14ac:dyDescent="0.2">
      <c r="A4" s="14"/>
      <c r="B4" s="15"/>
      <c r="C4" s="15"/>
      <c r="D4" s="15"/>
      <c r="E4" s="15"/>
      <c r="F4" s="15"/>
      <c r="G4" s="15"/>
      <c r="H4" s="15"/>
      <c r="I4" s="15"/>
      <c r="J4" s="15"/>
      <c r="K4" s="15"/>
      <c r="L4" s="16"/>
    </row>
    <row r="5" spans="1:12" ht="13.5" thickTop="1" x14ac:dyDescent="0.15">
      <c r="A5" s="14"/>
      <c r="B5" s="252">
        <v>3.94</v>
      </c>
      <c r="C5" s="224" t="s">
        <v>220</v>
      </c>
      <c r="D5" s="224"/>
      <c r="E5" s="15"/>
      <c r="F5" s="234">
        <v>500</v>
      </c>
      <c r="G5" s="221" t="s">
        <v>221</v>
      </c>
      <c r="H5" s="224"/>
      <c r="I5" s="15"/>
      <c r="J5" s="15"/>
      <c r="K5" s="15"/>
      <c r="L5" s="16"/>
    </row>
    <row r="6" spans="1:12" ht="13.5" thickBot="1" x14ac:dyDescent="0.2">
      <c r="A6" s="14"/>
      <c r="B6" s="253"/>
      <c r="C6" s="224"/>
      <c r="D6" s="224"/>
      <c r="E6" s="15"/>
      <c r="F6" s="235"/>
      <c r="G6" s="221"/>
      <c r="H6" s="224"/>
      <c r="I6" s="15"/>
      <c r="J6" s="15"/>
      <c r="K6" s="15"/>
      <c r="L6" s="16"/>
    </row>
    <row r="7" spans="1:12" ht="14.25" thickTop="1" thickBot="1" x14ac:dyDescent="0.2">
      <c r="A7" s="14"/>
      <c r="B7" s="15"/>
      <c r="C7" s="15"/>
      <c r="D7" s="15"/>
      <c r="E7" s="15"/>
      <c r="F7" s="15"/>
      <c r="G7" s="15"/>
      <c r="H7" s="15"/>
      <c r="I7" s="15"/>
      <c r="J7" s="237">
        <f>3.82*F5/B5</f>
        <v>484.7715736040609</v>
      </c>
      <c r="K7" s="221" t="s">
        <v>89</v>
      </c>
      <c r="L7" s="16"/>
    </row>
    <row r="8" spans="1:12" ht="14.25" thickTop="1" thickBot="1" x14ac:dyDescent="0.2">
      <c r="A8" s="14"/>
      <c r="B8" s="232">
        <f>B5*25.4</f>
        <v>100.07599999999999</v>
      </c>
      <c r="C8" s="221" t="s">
        <v>222</v>
      </c>
      <c r="D8" s="224"/>
      <c r="E8" s="15"/>
      <c r="F8" s="254">
        <f>F5*0.3048</f>
        <v>152.4</v>
      </c>
      <c r="G8" s="221" t="s">
        <v>223</v>
      </c>
      <c r="H8" s="224"/>
      <c r="I8" s="15"/>
      <c r="J8" s="238"/>
      <c r="K8" s="221"/>
      <c r="L8" s="16"/>
    </row>
    <row r="9" spans="1:12" ht="14.25" thickTop="1" thickBot="1" x14ac:dyDescent="0.2">
      <c r="A9" s="14"/>
      <c r="B9" s="233"/>
      <c r="C9" s="221"/>
      <c r="D9" s="224"/>
      <c r="E9" s="15"/>
      <c r="F9" s="255"/>
      <c r="G9" s="221"/>
      <c r="H9" s="224"/>
      <c r="I9" s="15"/>
      <c r="J9" s="15"/>
      <c r="K9" s="15"/>
      <c r="L9" s="16"/>
    </row>
    <row r="10" spans="1:12" ht="13.5" thickTop="1" x14ac:dyDescent="0.15">
      <c r="A10" s="14"/>
      <c r="B10" s="15"/>
      <c r="C10" s="15"/>
      <c r="D10" s="15"/>
      <c r="E10" s="15"/>
      <c r="F10" s="15"/>
      <c r="G10" s="15"/>
      <c r="H10" s="15"/>
      <c r="I10" s="15"/>
      <c r="J10" s="15"/>
      <c r="K10" s="15"/>
      <c r="L10" s="16"/>
    </row>
    <row r="11" spans="1:12" ht="13.5" thickBot="1" x14ac:dyDescent="0.2">
      <c r="A11" s="14"/>
      <c r="B11" s="15"/>
      <c r="C11" s="15"/>
      <c r="D11" s="15"/>
      <c r="E11" s="15"/>
      <c r="F11" s="15"/>
      <c r="G11" s="15"/>
      <c r="H11" s="15"/>
      <c r="I11" s="15"/>
      <c r="J11" s="15"/>
      <c r="K11" s="15"/>
      <c r="L11" s="16"/>
    </row>
    <row r="12" spans="1:12" ht="13.5" thickTop="1" x14ac:dyDescent="0.15">
      <c r="A12" s="14"/>
      <c r="B12" s="234">
        <v>5</v>
      </c>
      <c r="C12" s="221" t="s">
        <v>224</v>
      </c>
      <c r="D12" s="224"/>
      <c r="E12" s="15"/>
      <c r="F12" s="256">
        <v>0.01</v>
      </c>
      <c r="G12" s="221" t="s">
        <v>225</v>
      </c>
      <c r="H12" s="224"/>
      <c r="I12" s="15"/>
      <c r="J12" s="230">
        <f>J7*B12*F12</f>
        <v>24.238578680203045</v>
      </c>
      <c r="K12" s="221" t="s">
        <v>226</v>
      </c>
      <c r="L12" s="227"/>
    </row>
    <row r="13" spans="1:12" ht="13.5" thickBot="1" x14ac:dyDescent="0.2">
      <c r="A13" s="14"/>
      <c r="B13" s="235"/>
      <c r="C13" s="221"/>
      <c r="D13" s="224"/>
      <c r="E13" s="15"/>
      <c r="F13" s="257"/>
      <c r="G13" s="221"/>
      <c r="H13" s="224"/>
      <c r="I13" s="15"/>
      <c r="J13" s="231"/>
      <c r="K13" s="221"/>
      <c r="L13" s="227"/>
    </row>
    <row r="14" spans="1:12" ht="14.25" thickTop="1" thickBot="1" x14ac:dyDescent="0.2">
      <c r="A14" s="14"/>
      <c r="B14" s="15"/>
      <c r="C14" s="15"/>
      <c r="D14" s="15"/>
      <c r="E14" s="15"/>
      <c r="F14" s="15"/>
      <c r="G14" s="15"/>
      <c r="H14" s="15"/>
      <c r="I14" s="15"/>
      <c r="J14" s="15"/>
      <c r="K14" s="15"/>
      <c r="L14" s="16"/>
    </row>
    <row r="15" spans="1:12" ht="13.5" thickTop="1" x14ac:dyDescent="0.15">
      <c r="A15" s="14"/>
      <c r="B15" s="15"/>
      <c r="C15" s="15"/>
      <c r="D15" s="15"/>
      <c r="E15" s="15"/>
      <c r="F15" s="225">
        <f>F12*25.4</f>
        <v>0.254</v>
      </c>
      <c r="G15" s="221" t="s">
        <v>227</v>
      </c>
      <c r="H15" s="224"/>
      <c r="I15" s="15"/>
      <c r="J15" s="232">
        <f>J7*B12*F15</f>
        <v>615.65989847715741</v>
      </c>
      <c r="K15" s="221" t="s">
        <v>228</v>
      </c>
      <c r="L15" s="227"/>
    </row>
    <row r="16" spans="1:12" ht="13.5" thickBot="1" x14ac:dyDescent="0.2">
      <c r="A16" s="14"/>
      <c r="B16" s="15"/>
      <c r="C16" s="15"/>
      <c r="D16" s="15"/>
      <c r="E16" s="15"/>
      <c r="F16" s="226"/>
      <c r="G16" s="221"/>
      <c r="H16" s="224"/>
      <c r="I16" s="15"/>
      <c r="J16" s="233"/>
      <c r="K16" s="221"/>
      <c r="L16" s="227"/>
    </row>
    <row r="17" spans="1:12" ht="13.5" thickTop="1" x14ac:dyDescent="0.15">
      <c r="A17" s="14"/>
      <c r="B17" s="15"/>
      <c r="C17" s="15"/>
      <c r="D17" s="15"/>
      <c r="E17" s="15"/>
      <c r="F17" s="15"/>
      <c r="G17" s="15"/>
      <c r="H17" s="15"/>
      <c r="I17" s="15"/>
      <c r="J17" s="15"/>
      <c r="K17" s="15"/>
      <c r="L17" s="16"/>
    </row>
    <row r="18" spans="1:12" ht="13.5" thickBot="1" x14ac:dyDescent="0.2">
      <c r="A18" s="14"/>
      <c r="B18" s="15"/>
      <c r="C18" s="15"/>
      <c r="D18" s="15"/>
      <c r="E18" s="15"/>
      <c r="F18" s="15"/>
      <c r="G18" s="15"/>
      <c r="H18" s="15"/>
      <c r="I18" s="15"/>
      <c r="J18" s="15"/>
      <c r="K18" s="15"/>
      <c r="L18" s="16"/>
    </row>
    <row r="19" spans="1:12" ht="14.25" thickTop="1" thickBot="1" x14ac:dyDescent="0.2">
      <c r="A19" s="205"/>
      <c r="B19" s="206"/>
      <c r="C19" s="206"/>
      <c r="D19" s="206"/>
      <c r="E19" s="206"/>
      <c r="F19" s="206"/>
      <c r="G19" s="206"/>
      <c r="H19" s="206"/>
      <c r="I19" s="206"/>
      <c r="J19" s="206"/>
      <c r="K19" s="206"/>
      <c r="L19" s="207"/>
    </row>
    <row r="20" spans="1:12" ht="14.25" thickTop="1" thickBot="1" x14ac:dyDescent="0.2">
      <c r="A20" s="14"/>
      <c r="B20" s="15"/>
      <c r="C20" s="15"/>
      <c r="D20" s="15"/>
      <c r="E20" s="15"/>
      <c r="F20" s="15"/>
      <c r="G20" s="15"/>
      <c r="H20" s="15"/>
      <c r="I20" s="15"/>
      <c r="J20" s="15"/>
      <c r="K20" s="15"/>
      <c r="L20" s="16"/>
    </row>
    <row r="21" spans="1:12" ht="13.5" thickTop="1" x14ac:dyDescent="0.15">
      <c r="A21" s="234">
        <v>600</v>
      </c>
      <c r="B21" s="236" t="s">
        <v>98</v>
      </c>
      <c r="C21" s="224" t="s">
        <v>229</v>
      </c>
      <c r="D21" s="254">
        <f>A21*0.3048</f>
        <v>182.88</v>
      </c>
      <c r="E21" s="221" t="s">
        <v>230</v>
      </c>
      <c r="F21" s="15"/>
      <c r="G21" s="222">
        <v>58</v>
      </c>
      <c r="H21" s="221" t="s">
        <v>231</v>
      </c>
      <c r="I21" s="224" t="s">
        <v>229</v>
      </c>
      <c r="J21" s="232">
        <f>G21*25.4</f>
        <v>1473.1999999999998</v>
      </c>
      <c r="K21" s="221" t="s">
        <v>232</v>
      </c>
      <c r="L21" s="16"/>
    </row>
    <row r="22" spans="1:12" ht="13.5" thickBot="1" x14ac:dyDescent="0.2">
      <c r="A22" s="235"/>
      <c r="B22" s="236"/>
      <c r="C22" s="224"/>
      <c r="D22" s="255"/>
      <c r="E22" s="221"/>
      <c r="F22" s="15"/>
      <c r="G22" s="223"/>
      <c r="H22" s="221"/>
      <c r="I22" s="224"/>
      <c r="J22" s="233"/>
      <c r="K22" s="221"/>
      <c r="L22" s="16"/>
    </row>
    <row r="23" spans="1:12" ht="13.5" thickTop="1" x14ac:dyDescent="0.15">
      <c r="A23" s="14"/>
      <c r="B23" s="15"/>
      <c r="C23" s="15"/>
      <c r="D23" s="15"/>
      <c r="E23" s="15"/>
      <c r="F23" s="15"/>
      <c r="G23" s="15"/>
      <c r="H23" s="15"/>
      <c r="I23" s="15"/>
      <c r="J23" s="15"/>
      <c r="K23" s="15"/>
      <c r="L23" s="16"/>
    </row>
    <row r="24" spans="1:12" ht="13.5" thickBot="1" x14ac:dyDescent="0.2">
      <c r="A24" s="208"/>
      <c r="B24" s="209"/>
      <c r="C24" s="209"/>
      <c r="D24" s="209"/>
      <c r="E24" s="209"/>
      <c r="F24" s="209"/>
      <c r="G24" s="209"/>
      <c r="H24" s="209"/>
      <c r="I24" s="209"/>
      <c r="J24" s="209"/>
      <c r="K24" s="209"/>
      <c r="L24" s="210"/>
    </row>
    <row r="25" spans="1:12" ht="13.5" thickTop="1" x14ac:dyDescent="0.15">
      <c r="A25" s="241" t="s">
        <v>233</v>
      </c>
      <c r="B25" s="242"/>
      <c r="C25" s="242"/>
      <c r="D25" s="242"/>
      <c r="E25" s="242"/>
      <c r="F25" s="242"/>
      <c r="G25" s="242"/>
      <c r="H25" s="242"/>
      <c r="I25" s="242"/>
      <c r="J25" s="242"/>
      <c r="K25" s="242"/>
      <c r="L25" s="243"/>
    </row>
    <row r="26" spans="1:12" x14ac:dyDescent="0.15">
      <c r="A26" s="244"/>
      <c r="B26" s="245"/>
      <c r="C26" s="245"/>
      <c r="D26" s="245"/>
      <c r="E26" s="245"/>
      <c r="F26" s="245"/>
      <c r="G26" s="245"/>
      <c r="H26" s="245"/>
      <c r="I26" s="245"/>
      <c r="J26" s="245"/>
      <c r="K26" s="245"/>
      <c r="L26" s="246"/>
    </row>
    <row r="27" spans="1:12" ht="13.5" thickBot="1" x14ac:dyDescent="0.2">
      <c r="A27" s="247"/>
      <c r="B27" s="248"/>
      <c r="C27" s="248"/>
      <c r="D27" s="248"/>
      <c r="E27" s="248"/>
      <c r="F27" s="248"/>
      <c r="G27" s="248"/>
      <c r="H27" s="248"/>
      <c r="I27" s="248"/>
      <c r="J27" s="248"/>
      <c r="K27" s="248"/>
      <c r="L27" s="249"/>
    </row>
    <row r="28" spans="1:12" ht="14.25" thickTop="1" thickBot="1" x14ac:dyDescent="0.2">
      <c r="A28" s="211"/>
      <c r="B28" s="212"/>
      <c r="C28" s="212"/>
      <c r="D28" s="212"/>
      <c r="E28" s="212"/>
      <c r="F28" s="212"/>
      <c r="G28" s="212"/>
      <c r="H28" s="212"/>
      <c r="I28" s="212"/>
      <c r="J28" s="212"/>
      <c r="K28" s="212"/>
      <c r="L28" s="213"/>
    </row>
    <row r="29" spans="1:12" ht="13.5" thickTop="1" x14ac:dyDescent="0.15">
      <c r="A29" s="182"/>
      <c r="B29" s="250">
        <v>100</v>
      </c>
      <c r="C29" s="224" t="s">
        <v>222</v>
      </c>
      <c r="D29" s="224"/>
      <c r="E29" s="183"/>
      <c r="F29" s="234">
        <v>150</v>
      </c>
      <c r="G29" s="221" t="s">
        <v>223</v>
      </c>
      <c r="H29" s="224"/>
      <c r="I29" s="183"/>
      <c r="J29" s="183"/>
      <c r="K29" s="183"/>
      <c r="L29" s="184"/>
    </row>
    <row r="30" spans="1:12" ht="13.5" thickBot="1" x14ac:dyDescent="0.2">
      <c r="A30" s="182"/>
      <c r="B30" s="251"/>
      <c r="C30" s="224"/>
      <c r="D30" s="224"/>
      <c r="E30" s="183"/>
      <c r="F30" s="235"/>
      <c r="G30" s="221"/>
      <c r="H30" s="224"/>
      <c r="I30" s="183"/>
      <c r="J30" s="183"/>
      <c r="K30" s="183"/>
      <c r="L30" s="184"/>
    </row>
    <row r="31" spans="1:12" ht="14.25" thickTop="1" thickBot="1" x14ac:dyDescent="0.2">
      <c r="A31" s="182"/>
      <c r="B31" s="183"/>
      <c r="C31" s="183"/>
      <c r="D31" s="183"/>
      <c r="E31" s="183"/>
      <c r="F31" s="183"/>
      <c r="G31" s="183"/>
      <c r="H31" s="183"/>
      <c r="I31" s="183"/>
      <c r="J31" s="239">
        <f>3.82*F32/B32</f>
        <v>477.49855986</v>
      </c>
      <c r="K31" s="221" t="s">
        <v>89</v>
      </c>
      <c r="L31" s="184"/>
    </row>
    <row r="32" spans="1:12" ht="14.25" thickTop="1" thickBot="1" x14ac:dyDescent="0.2">
      <c r="A32" s="182"/>
      <c r="B32" s="230">
        <f>B29/25.4</f>
        <v>3.9370078740157481</v>
      </c>
      <c r="C32" s="224" t="s">
        <v>220</v>
      </c>
      <c r="D32" s="224"/>
      <c r="E32" s="183"/>
      <c r="F32" s="237">
        <f>F29*3.28083</f>
        <v>492.12450000000001</v>
      </c>
      <c r="G32" s="221" t="s">
        <v>221</v>
      </c>
      <c r="H32" s="224"/>
      <c r="I32" s="183"/>
      <c r="J32" s="240"/>
      <c r="K32" s="221"/>
      <c r="L32" s="184"/>
    </row>
    <row r="33" spans="1:12" ht="14.25" thickTop="1" thickBot="1" x14ac:dyDescent="0.2">
      <c r="A33" s="182"/>
      <c r="B33" s="231"/>
      <c r="C33" s="224"/>
      <c r="D33" s="224"/>
      <c r="E33" s="183"/>
      <c r="F33" s="238"/>
      <c r="G33" s="221"/>
      <c r="H33" s="224"/>
      <c r="I33" s="183"/>
      <c r="J33" s="183"/>
      <c r="K33" s="183"/>
      <c r="L33" s="184"/>
    </row>
    <row r="34" spans="1:12" ht="13.5" thickTop="1" x14ac:dyDescent="0.15">
      <c r="A34" s="182"/>
      <c r="B34" s="183"/>
      <c r="C34" s="183"/>
      <c r="D34" s="183"/>
      <c r="E34" s="183"/>
      <c r="F34" s="183"/>
      <c r="G34" s="183"/>
      <c r="H34" s="183"/>
      <c r="I34" s="183"/>
      <c r="J34" s="183"/>
      <c r="K34" s="183"/>
      <c r="L34" s="184"/>
    </row>
    <row r="35" spans="1:12" ht="13.5" thickBot="1" x14ac:dyDescent="0.2">
      <c r="A35" s="182"/>
      <c r="B35" s="183"/>
      <c r="C35" s="183"/>
      <c r="D35" s="183"/>
      <c r="E35" s="183"/>
      <c r="F35" s="183"/>
      <c r="G35" s="183"/>
      <c r="H35" s="183"/>
      <c r="I35" s="183"/>
      <c r="J35" s="183"/>
      <c r="K35" s="183"/>
      <c r="L35" s="184"/>
    </row>
    <row r="36" spans="1:12" ht="13.5" thickTop="1" x14ac:dyDescent="0.15">
      <c r="A36" s="182"/>
      <c r="B36" s="234">
        <v>5</v>
      </c>
      <c r="C36" s="221" t="s">
        <v>224</v>
      </c>
      <c r="D36" s="224"/>
      <c r="E36" s="183"/>
      <c r="F36" s="234">
        <v>0.254</v>
      </c>
      <c r="G36" s="221" t="s">
        <v>227</v>
      </c>
      <c r="H36" s="224"/>
      <c r="I36" s="183"/>
      <c r="J36" s="232">
        <f>J31*B36*F36</f>
        <v>606.42317102219999</v>
      </c>
      <c r="K36" s="221" t="s">
        <v>228</v>
      </c>
      <c r="L36" s="227"/>
    </row>
    <row r="37" spans="1:12" ht="13.5" thickBot="1" x14ac:dyDescent="0.2">
      <c r="A37" s="182"/>
      <c r="B37" s="235"/>
      <c r="C37" s="221"/>
      <c r="D37" s="224"/>
      <c r="E37" s="183"/>
      <c r="F37" s="235"/>
      <c r="G37" s="221"/>
      <c r="H37" s="224"/>
      <c r="I37" s="183"/>
      <c r="J37" s="233"/>
      <c r="K37" s="221"/>
      <c r="L37" s="227"/>
    </row>
    <row r="38" spans="1:12" ht="14.25" thickTop="1" thickBot="1" x14ac:dyDescent="0.2">
      <c r="A38" s="182"/>
      <c r="B38" s="183"/>
      <c r="C38" s="183"/>
      <c r="D38" s="183"/>
      <c r="E38" s="183"/>
      <c r="F38" s="183"/>
      <c r="G38" s="183"/>
      <c r="H38" s="183"/>
      <c r="I38" s="183"/>
      <c r="J38" s="183"/>
      <c r="K38" s="183"/>
      <c r="L38" s="184"/>
    </row>
    <row r="39" spans="1:12" ht="13.5" thickTop="1" x14ac:dyDescent="0.15">
      <c r="A39" s="182"/>
      <c r="B39" s="183"/>
      <c r="C39" s="183"/>
      <c r="D39" s="183"/>
      <c r="E39" s="183"/>
      <c r="F39" s="228">
        <f>F36/25.4</f>
        <v>0.01</v>
      </c>
      <c r="G39" s="221" t="s">
        <v>225</v>
      </c>
      <c r="H39" s="224"/>
      <c r="I39" s="183"/>
      <c r="J39" s="230">
        <f>F39*J31*B36</f>
        <v>23.874927993</v>
      </c>
      <c r="K39" s="221" t="s">
        <v>226</v>
      </c>
      <c r="L39" s="227"/>
    </row>
    <row r="40" spans="1:12" ht="13.5" thickBot="1" x14ac:dyDescent="0.2">
      <c r="A40" s="182"/>
      <c r="B40" s="183"/>
      <c r="C40" s="183"/>
      <c r="D40" s="183"/>
      <c r="E40" s="183"/>
      <c r="F40" s="229"/>
      <c r="G40" s="221"/>
      <c r="H40" s="224"/>
      <c r="I40" s="183"/>
      <c r="J40" s="231"/>
      <c r="K40" s="221"/>
      <c r="L40" s="227"/>
    </row>
    <row r="41" spans="1:12" ht="13.5" thickTop="1" x14ac:dyDescent="0.15">
      <c r="A41" s="182"/>
      <c r="B41" s="183"/>
      <c r="C41" s="183"/>
      <c r="D41" s="183"/>
      <c r="E41" s="183"/>
      <c r="F41" s="183"/>
      <c r="G41" s="183"/>
      <c r="H41" s="183"/>
      <c r="I41" s="183"/>
      <c r="J41" s="183"/>
      <c r="K41" s="183"/>
      <c r="L41" s="184"/>
    </row>
    <row r="42" spans="1:12" ht="13.5" thickBot="1" x14ac:dyDescent="0.2">
      <c r="A42" s="182"/>
      <c r="B42" s="183"/>
      <c r="C42" s="183"/>
      <c r="D42" s="183"/>
      <c r="E42" s="183"/>
      <c r="F42" s="183"/>
      <c r="G42" s="183"/>
      <c r="H42" s="183"/>
      <c r="I42" s="183"/>
      <c r="J42" s="183"/>
      <c r="K42" s="183"/>
      <c r="L42" s="184"/>
    </row>
    <row r="43" spans="1:12" s="215" customFormat="1" ht="14.25" thickTop="1" thickBot="1" x14ac:dyDescent="0.2">
      <c r="A43" s="214"/>
      <c r="L43" s="216"/>
    </row>
    <row r="44" spans="1:12" ht="14.25" thickTop="1" thickBot="1" x14ac:dyDescent="0.2">
      <c r="A44" s="182"/>
      <c r="B44" s="183"/>
      <c r="C44" s="183"/>
      <c r="D44" s="183"/>
      <c r="E44" s="183"/>
      <c r="F44" s="183"/>
      <c r="G44" s="183"/>
      <c r="H44" s="183"/>
      <c r="I44" s="183"/>
      <c r="J44" s="183"/>
      <c r="K44" s="183"/>
      <c r="L44" s="184"/>
    </row>
    <row r="45" spans="1:12" ht="13.5" thickTop="1" x14ac:dyDescent="0.15">
      <c r="A45" s="234">
        <v>600</v>
      </c>
      <c r="B45" s="236" t="s">
        <v>234</v>
      </c>
      <c r="C45" s="224" t="s">
        <v>229</v>
      </c>
      <c r="D45" s="237">
        <f>A45*3.28083</f>
        <v>1968.498</v>
      </c>
      <c r="E45" s="221" t="s">
        <v>98</v>
      </c>
      <c r="F45" s="15"/>
      <c r="G45" s="222">
        <v>58</v>
      </c>
      <c r="H45" s="221" t="s">
        <v>235</v>
      </c>
      <c r="I45" s="224" t="s">
        <v>229</v>
      </c>
      <c r="J45" s="225">
        <f>G45/25.4</f>
        <v>2.2834645669291338</v>
      </c>
      <c r="K45" s="221" t="s">
        <v>236</v>
      </c>
      <c r="L45" s="16"/>
    </row>
    <row r="46" spans="1:12" ht="13.5" thickBot="1" x14ac:dyDescent="0.2">
      <c r="A46" s="235"/>
      <c r="B46" s="236"/>
      <c r="C46" s="224"/>
      <c r="D46" s="238"/>
      <c r="E46" s="221"/>
      <c r="F46" s="15"/>
      <c r="G46" s="223"/>
      <c r="H46" s="221"/>
      <c r="I46" s="224"/>
      <c r="J46" s="226"/>
      <c r="K46" s="221"/>
      <c r="L46" s="16"/>
    </row>
    <row r="47" spans="1:12" ht="13.5" thickTop="1" x14ac:dyDescent="0.15">
      <c r="A47" s="182"/>
      <c r="B47" s="183"/>
      <c r="C47" s="183"/>
      <c r="D47" s="183"/>
      <c r="E47" s="183"/>
      <c r="F47" s="183"/>
      <c r="G47" s="183"/>
      <c r="H47" s="183"/>
      <c r="I47" s="183"/>
      <c r="J47" s="183"/>
      <c r="K47" s="183"/>
      <c r="L47" s="184"/>
    </row>
    <row r="48" spans="1:12" ht="13.5" thickBot="1" x14ac:dyDescent="0.2">
      <c r="A48" s="187"/>
      <c r="B48" s="188"/>
      <c r="C48" s="188"/>
      <c r="D48" s="188"/>
      <c r="E48" s="188"/>
      <c r="F48" s="188"/>
      <c r="G48" s="188"/>
      <c r="H48" s="188"/>
      <c r="I48" s="188"/>
      <c r="J48" s="188"/>
      <c r="K48" s="188"/>
      <c r="L48" s="189"/>
    </row>
    <row r="49" spans="1:12" ht="13.5" thickTop="1" x14ac:dyDescent="0.15">
      <c r="A49" s="258" t="s">
        <v>237</v>
      </c>
      <c r="B49" s="259"/>
      <c r="C49" s="259"/>
      <c r="D49" s="259"/>
      <c r="E49" s="259"/>
      <c r="F49" s="259"/>
      <c r="G49" s="259"/>
      <c r="H49" s="259"/>
      <c r="I49" s="259"/>
      <c r="J49" s="259"/>
      <c r="K49" s="259"/>
      <c r="L49" s="260"/>
    </row>
    <row r="50" spans="1:12" x14ac:dyDescent="0.15">
      <c r="A50" s="261"/>
      <c r="B50" s="262"/>
      <c r="C50" s="262"/>
      <c r="D50" s="262"/>
      <c r="E50" s="262"/>
      <c r="F50" s="262"/>
      <c r="G50" s="262"/>
      <c r="H50" s="262"/>
      <c r="I50" s="262"/>
      <c r="J50" s="262"/>
      <c r="K50" s="262"/>
      <c r="L50" s="263"/>
    </row>
    <row r="51" spans="1:12" ht="13.5" thickBot="1" x14ac:dyDescent="0.2">
      <c r="A51" s="264"/>
      <c r="B51" s="265"/>
      <c r="C51" s="265"/>
      <c r="D51" s="265"/>
      <c r="E51" s="265"/>
      <c r="F51" s="265"/>
      <c r="G51" s="265"/>
      <c r="H51" s="265"/>
      <c r="I51" s="265"/>
      <c r="J51" s="265"/>
      <c r="K51" s="265"/>
      <c r="L51" s="266"/>
    </row>
    <row r="52" spans="1:12" ht="14.25" thickTop="1" thickBot="1" x14ac:dyDescent="0.2">
      <c r="A52" s="211"/>
      <c r="B52" s="212"/>
      <c r="C52" s="212"/>
      <c r="D52" s="212"/>
      <c r="E52" s="212"/>
      <c r="F52" s="212"/>
      <c r="G52" s="212"/>
      <c r="H52" s="212"/>
      <c r="I52" s="212"/>
      <c r="J52" s="212"/>
      <c r="K52" s="212"/>
      <c r="L52" s="213"/>
    </row>
    <row r="53" spans="1:12" ht="13.5" thickTop="1" x14ac:dyDescent="0.15">
      <c r="A53" s="182"/>
      <c r="B53" s="256">
        <v>1</v>
      </c>
      <c r="C53" s="267" t="s">
        <v>238</v>
      </c>
      <c r="D53" s="268"/>
      <c r="E53" s="183"/>
      <c r="F53" s="234">
        <v>100</v>
      </c>
      <c r="G53" s="221" t="s">
        <v>221</v>
      </c>
      <c r="H53" s="224"/>
      <c r="I53" s="183"/>
      <c r="J53" s="183"/>
      <c r="K53" s="183"/>
      <c r="L53" s="184"/>
    </row>
    <row r="54" spans="1:12" ht="13.5" thickBot="1" x14ac:dyDescent="0.2">
      <c r="A54" s="182"/>
      <c r="B54" s="257"/>
      <c r="C54" s="267"/>
      <c r="D54" s="268"/>
      <c r="E54" s="183"/>
      <c r="F54" s="235"/>
      <c r="G54" s="221"/>
      <c r="H54" s="224"/>
      <c r="I54" s="183"/>
      <c r="J54" s="183"/>
      <c r="K54" s="183"/>
      <c r="L54" s="184"/>
    </row>
    <row r="55" spans="1:12" ht="14.25" thickTop="1" thickBot="1" x14ac:dyDescent="0.2">
      <c r="A55" s="182"/>
      <c r="B55" s="183"/>
      <c r="C55" s="183"/>
      <c r="D55" s="183"/>
      <c r="E55" s="183"/>
      <c r="F55" s="183"/>
      <c r="G55" s="183"/>
      <c r="H55" s="183"/>
      <c r="I55" s="183"/>
      <c r="J55" s="183"/>
      <c r="K55" s="183"/>
      <c r="L55" s="184"/>
    </row>
    <row r="56" spans="1:12" ht="13.5" thickTop="1" x14ac:dyDescent="0.15">
      <c r="A56" s="182"/>
      <c r="B56" s="230">
        <f>B53*25.4</f>
        <v>25.4</v>
      </c>
      <c r="C56" s="221" t="s">
        <v>239</v>
      </c>
      <c r="D56" s="224"/>
      <c r="E56" s="183"/>
      <c r="F56" s="230">
        <f>F53/3.28083</f>
        <v>30.480091927957254</v>
      </c>
      <c r="G56" s="221" t="s">
        <v>240</v>
      </c>
      <c r="H56" s="224"/>
      <c r="I56" s="183"/>
      <c r="J56" s="237">
        <f>3.82*F53/B53</f>
        <v>382</v>
      </c>
      <c r="K56" s="221" t="s">
        <v>89</v>
      </c>
      <c r="L56" s="184"/>
    </row>
    <row r="57" spans="1:12" ht="13.5" thickBot="1" x14ac:dyDescent="0.2">
      <c r="A57" s="182"/>
      <c r="B57" s="231"/>
      <c r="C57" s="221"/>
      <c r="D57" s="224"/>
      <c r="E57" s="183"/>
      <c r="F57" s="231"/>
      <c r="G57" s="221"/>
      <c r="H57" s="224"/>
      <c r="I57" s="183"/>
      <c r="J57" s="238"/>
      <c r="K57" s="221"/>
      <c r="L57" s="184"/>
    </row>
    <row r="58" spans="1:12" ht="14.25" thickTop="1" thickBot="1" x14ac:dyDescent="0.2">
      <c r="A58" s="182"/>
      <c r="B58" s="183"/>
      <c r="C58" s="183"/>
      <c r="D58" s="183"/>
      <c r="E58" s="183"/>
      <c r="F58" s="183"/>
      <c r="G58" s="183"/>
      <c r="H58" s="183"/>
      <c r="I58" s="183"/>
      <c r="J58" s="183"/>
      <c r="K58" s="183"/>
      <c r="L58" s="184"/>
    </row>
    <row r="59" spans="1:12" ht="13.5" thickTop="1" x14ac:dyDescent="0.15">
      <c r="A59" s="182"/>
      <c r="B59" s="234">
        <v>5.0000000000000001E-3</v>
      </c>
      <c r="C59" s="221" t="s">
        <v>241</v>
      </c>
      <c r="D59" s="224"/>
      <c r="E59" s="183"/>
      <c r="F59" s="225">
        <f>B59*25.4</f>
        <v>0.127</v>
      </c>
      <c r="G59" s="221" t="s">
        <v>242</v>
      </c>
      <c r="H59" s="224"/>
      <c r="I59" s="183"/>
      <c r="J59" s="183"/>
      <c r="K59" s="183"/>
      <c r="L59" s="184"/>
    </row>
    <row r="60" spans="1:12" ht="13.5" thickBot="1" x14ac:dyDescent="0.2">
      <c r="A60" s="182"/>
      <c r="B60" s="235"/>
      <c r="C60" s="221"/>
      <c r="D60" s="224"/>
      <c r="E60" s="183"/>
      <c r="F60" s="226"/>
      <c r="G60" s="221"/>
      <c r="H60" s="224"/>
      <c r="I60" s="183"/>
      <c r="J60" s="183"/>
      <c r="K60" s="183"/>
      <c r="L60" s="184"/>
    </row>
    <row r="61" spans="1:12" ht="14.25" thickTop="1" thickBot="1" x14ac:dyDescent="0.2">
      <c r="A61" s="182"/>
      <c r="B61" s="183"/>
      <c r="C61" s="183"/>
      <c r="D61" s="183"/>
      <c r="E61" s="183"/>
      <c r="F61" s="183"/>
      <c r="G61" s="183"/>
      <c r="H61" s="183"/>
      <c r="I61" s="183"/>
      <c r="J61" s="183"/>
      <c r="K61" s="183"/>
      <c r="L61" s="184"/>
    </row>
    <row r="62" spans="1:12" ht="13.5" thickTop="1" x14ac:dyDescent="0.15">
      <c r="A62" s="182"/>
      <c r="B62" s="234">
        <v>0.03</v>
      </c>
      <c r="C62" s="267" t="s">
        <v>243</v>
      </c>
      <c r="D62" s="268"/>
      <c r="E62" s="183"/>
      <c r="F62" s="269">
        <f>B62*25.4</f>
        <v>0.7619999999999999</v>
      </c>
      <c r="G62" s="267" t="s">
        <v>244</v>
      </c>
      <c r="H62" s="268"/>
      <c r="I62" s="183"/>
      <c r="J62" s="183"/>
      <c r="K62" s="183"/>
      <c r="L62" s="184"/>
    </row>
    <row r="63" spans="1:12" ht="13.5" thickBot="1" x14ac:dyDescent="0.2">
      <c r="A63" s="182"/>
      <c r="B63" s="235"/>
      <c r="C63" s="267"/>
      <c r="D63" s="268"/>
      <c r="E63" s="183"/>
      <c r="F63" s="270"/>
      <c r="G63" s="267"/>
      <c r="H63" s="268"/>
      <c r="I63" s="183"/>
      <c r="J63" s="183"/>
      <c r="K63" s="183"/>
      <c r="L63" s="184"/>
    </row>
    <row r="64" spans="1:12" ht="14.25" thickTop="1" thickBot="1" x14ac:dyDescent="0.2">
      <c r="A64" s="182"/>
      <c r="B64" s="183"/>
      <c r="C64" s="183"/>
      <c r="D64" s="183"/>
      <c r="E64" s="183"/>
      <c r="F64" s="183"/>
      <c r="G64" s="183"/>
      <c r="H64" s="183"/>
      <c r="I64" s="183"/>
      <c r="J64" s="183"/>
      <c r="K64" s="183"/>
      <c r="L64" s="184"/>
    </row>
    <row r="65" spans="1:12" ht="14.25" thickTop="1" thickBot="1" x14ac:dyDescent="0.2">
      <c r="A65" s="214"/>
      <c r="B65" s="215"/>
      <c r="C65" s="215"/>
      <c r="D65" s="215"/>
      <c r="E65" s="215"/>
      <c r="F65" s="215"/>
      <c r="G65" s="215"/>
      <c r="H65" s="215"/>
      <c r="I65" s="215"/>
      <c r="J65" s="215"/>
      <c r="K65" s="215"/>
      <c r="L65" s="217"/>
    </row>
    <row r="66" spans="1:12" ht="14.25" thickTop="1" thickBot="1" x14ac:dyDescent="0.2">
      <c r="A66" s="182"/>
      <c r="B66" s="183"/>
      <c r="C66" s="183"/>
      <c r="D66" s="183"/>
      <c r="E66" s="183"/>
      <c r="F66" s="183"/>
      <c r="G66" s="183"/>
      <c r="H66" s="183"/>
      <c r="I66" s="183"/>
      <c r="J66" s="183"/>
      <c r="K66" s="183"/>
      <c r="L66" s="184"/>
    </row>
    <row r="67" spans="1:12" ht="13.5" thickTop="1" x14ac:dyDescent="0.15">
      <c r="A67" s="234">
        <v>300</v>
      </c>
      <c r="B67" s="236" t="s">
        <v>98</v>
      </c>
      <c r="C67" s="224" t="s">
        <v>229</v>
      </c>
      <c r="D67" s="254">
        <f>A67*0.3048</f>
        <v>91.44</v>
      </c>
      <c r="E67" s="221" t="s">
        <v>230</v>
      </c>
      <c r="F67" s="15"/>
      <c r="G67" s="222">
        <v>70</v>
      </c>
      <c r="H67" s="221" t="s">
        <v>231</v>
      </c>
      <c r="I67" s="224" t="s">
        <v>229</v>
      </c>
      <c r="J67" s="230">
        <f>G67*25.4</f>
        <v>1778</v>
      </c>
      <c r="K67" s="221" t="s">
        <v>232</v>
      </c>
      <c r="L67" s="16"/>
    </row>
    <row r="68" spans="1:12" ht="13.5" thickBot="1" x14ac:dyDescent="0.2">
      <c r="A68" s="235"/>
      <c r="B68" s="236"/>
      <c r="C68" s="224"/>
      <c r="D68" s="255"/>
      <c r="E68" s="221"/>
      <c r="F68" s="15"/>
      <c r="G68" s="223"/>
      <c r="H68" s="221"/>
      <c r="I68" s="224"/>
      <c r="J68" s="231"/>
      <c r="K68" s="221"/>
      <c r="L68" s="16"/>
    </row>
    <row r="69" spans="1:12" ht="13.5" thickTop="1" x14ac:dyDescent="0.15">
      <c r="A69" s="182"/>
      <c r="B69" s="183"/>
      <c r="C69" s="183"/>
      <c r="D69" s="183"/>
      <c r="E69" s="183"/>
      <c r="F69" s="183"/>
      <c r="G69" s="183"/>
      <c r="H69" s="183"/>
      <c r="I69" s="183"/>
      <c r="J69" s="183"/>
      <c r="K69" s="183"/>
      <c r="L69" s="184"/>
    </row>
    <row r="70" spans="1:12" ht="13.5" thickBot="1" x14ac:dyDescent="0.2">
      <c r="A70" s="187"/>
      <c r="B70" s="188"/>
      <c r="C70" s="188"/>
      <c r="D70" s="188"/>
      <c r="E70" s="188"/>
      <c r="F70" s="188"/>
      <c r="G70" s="188"/>
      <c r="H70" s="188"/>
      <c r="I70" s="188"/>
      <c r="J70" s="188"/>
      <c r="K70" s="188"/>
      <c r="L70" s="189"/>
    </row>
    <row r="71" spans="1:12" ht="13.5" customHeight="1" thickTop="1" x14ac:dyDescent="0.15">
      <c r="A71" s="258" t="s">
        <v>245</v>
      </c>
      <c r="B71" s="259"/>
      <c r="C71" s="259"/>
      <c r="D71" s="259"/>
      <c r="E71" s="259"/>
      <c r="F71" s="259"/>
      <c r="G71" s="259"/>
      <c r="H71" s="259"/>
      <c r="I71" s="259"/>
      <c r="J71" s="259"/>
      <c r="K71" s="259"/>
      <c r="L71" s="260"/>
    </row>
    <row r="72" spans="1:12" ht="12.75" customHeight="1" x14ac:dyDescent="0.15">
      <c r="A72" s="261"/>
      <c r="B72" s="262"/>
      <c r="C72" s="262"/>
      <c r="D72" s="262"/>
      <c r="E72" s="262"/>
      <c r="F72" s="262"/>
      <c r="G72" s="262"/>
      <c r="H72" s="262"/>
      <c r="I72" s="262"/>
      <c r="J72" s="262"/>
      <c r="K72" s="262"/>
      <c r="L72" s="263"/>
    </row>
    <row r="73" spans="1:12" ht="13.5" customHeight="1" thickBot="1" x14ac:dyDescent="0.2">
      <c r="A73" s="264"/>
      <c r="B73" s="265"/>
      <c r="C73" s="265"/>
      <c r="D73" s="265"/>
      <c r="E73" s="265"/>
      <c r="F73" s="265"/>
      <c r="G73" s="265"/>
      <c r="H73" s="265"/>
      <c r="I73" s="265"/>
      <c r="J73" s="265"/>
      <c r="K73" s="265"/>
      <c r="L73" s="266"/>
    </row>
    <row r="74" spans="1:12" ht="14.25" thickTop="1" thickBot="1" x14ac:dyDescent="0.2">
      <c r="A74" s="211"/>
      <c r="B74" s="212"/>
      <c r="C74" s="212"/>
      <c r="D74" s="212"/>
      <c r="E74" s="212"/>
      <c r="F74" s="212"/>
      <c r="G74" s="212"/>
      <c r="H74" s="212"/>
      <c r="I74" s="212"/>
      <c r="J74" s="212"/>
      <c r="K74" s="212"/>
      <c r="L74" s="213"/>
    </row>
    <row r="75" spans="1:12" ht="13.5" thickTop="1" x14ac:dyDescent="0.15">
      <c r="A75" s="182"/>
      <c r="B75" s="222">
        <v>101.6</v>
      </c>
      <c r="C75" s="267" t="s">
        <v>239</v>
      </c>
      <c r="D75" s="268"/>
      <c r="E75" s="183"/>
      <c r="F75" s="234">
        <v>100</v>
      </c>
      <c r="G75" s="221" t="s">
        <v>240</v>
      </c>
      <c r="H75" s="224"/>
      <c r="I75" s="183"/>
      <c r="J75" s="183"/>
      <c r="K75" s="183"/>
      <c r="L75" s="184"/>
    </row>
    <row r="76" spans="1:12" ht="13.5" thickBot="1" x14ac:dyDescent="0.2">
      <c r="A76" s="182"/>
      <c r="B76" s="223"/>
      <c r="C76" s="267"/>
      <c r="D76" s="268"/>
      <c r="E76" s="183"/>
      <c r="F76" s="235"/>
      <c r="G76" s="221"/>
      <c r="H76" s="224"/>
      <c r="I76" s="183"/>
      <c r="J76" s="183"/>
      <c r="K76" s="183"/>
      <c r="L76" s="184"/>
    </row>
    <row r="77" spans="1:12" ht="14.25" thickTop="1" thickBot="1" x14ac:dyDescent="0.2">
      <c r="A77" s="182"/>
      <c r="B77" s="183"/>
      <c r="C77" s="183"/>
      <c r="D77" s="183"/>
      <c r="E77" s="183"/>
      <c r="F77" s="183"/>
      <c r="G77" s="183"/>
      <c r="H77" s="183"/>
      <c r="I77" s="183"/>
      <c r="J77" s="183"/>
      <c r="K77" s="183"/>
      <c r="L77" s="184"/>
    </row>
    <row r="78" spans="1:12" ht="13.5" thickTop="1" x14ac:dyDescent="0.15">
      <c r="A78" s="182"/>
      <c r="B78" s="228">
        <f>B75/25.4</f>
        <v>4</v>
      </c>
      <c r="C78" s="221" t="s">
        <v>238</v>
      </c>
      <c r="D78" s="224"/>
      <c r="E78" s="183"/>
      <c r="F78" s="232">
        <f>F75*3.28083</f>
        <v>328.08299999999997</v>
      </c>
      <c r="G78" s="221" t="s">
        <v>221</v>
      </c>
      <c r="H78" s="224"/>
      <c r="I78" s="183"/>
      <c r="J78" s="237">
        <f>3.82*F78/B78</f>
        <v>313.31926499999997</v>
      </c>
      <c r="K78" s="221" t="s">
        <v>89</v>
      </c>
      <c r="L78" s="184"/>
    </row>
    <row r="79" spans="1:12" ht="13.5" thickBot="1" x14ac:dyDescent="0.2">
      <c r="A79" s="182"/>
      <c r="B79" s="229"/>
      <c r="C79" s="221"/>
      <c r="D79" s="224"/>
      <c r="E79" s="183"/>
      <c r="F79" s="233"/>
      <c r="G79" s="221"/>
      <c r="H79" s="224"/>
      <c r="I79" s="183"/>
      <c r="J79" s="238"/>
      <c r="K79" s="221"/>
      <c r="L79" s="184"/>
    </row>
    <row r="80" spans="1:12" ht="14.25" thickTop="1" thickBot="1" x14ac:dyDescent="0.2">
      <c r="A80" s="182"/>
      <c r="B80" s="183"/>
      <c r="C80" s="183"/>
      <c r="D80" s="183"/>
      <c r="E80" s="183"/>
      <c r="F80" s="183"/>
      <c r="G80" s="183"/>
      <c r="H80" s="183"/>
      <c r="I80" s="183"/>
      <c r="J80" s="183"/>
      <c r="K80" s="183"/>
      <c r="L80" s="184"/>
    </row>
    <row r="81" spans="1:12" ht="13.5" thickTop="1" x14ac:dyDescent="0.15">
      <c r="A81" s="182"/>
      <c r="B81" s="222">
        <v>0.1</v>
      </c>
      <c r="C81" s="221" t="s">
        <v>246</v>
      </c>
      <c r="D81" s="224"/>
      <c r="E81" s="183"/>
      <c r="F81" s="228">
        <f>B81/25.4</f>
        <v>3.9370078740157488E-3</v>
      </c>
      <c r="G81" s="221" t="s">
        <v>247</v>
      </c>
      <c r="H81" s="224"/>
      <c r="I81" s="183"/>
      <c r="J81" s="183"/>
      <c r="K81" s="183"/>
      <c r="L81" s="184"/>
    </row>
    <row r="82" spans="1:12" ht="13.5" thickBot="1" x14ac:dyDescent="0.2">
      <c r="A82" s="182"/>
      <c r="B82" s="223"/>
      <c r="C82" s="221"/>
      <c r="D82" s="224"/>
      <c r="E82" s="183"/>
      <c r="F82" s="229"/>
      <c r="G82" s="221"/>
      <c r="H82" s="224"/>
      <c r="I82" s="183"/>
      <c r="J82" s="183"/>
      <c r="K82" s="183"/>
      <c r="L82" s="184"/>
    </row>
    <row r="83" spans="1:12" ht="14.25" thickTop="1" thickBot="1" x14ac:dyDescent="0.2">
      <c r="A83" s="182"/>
      <c r="B83" s="183"/>
      <c r="C83" s="183"/>
      <c r="D83" s="183"/>
      <c r="E83" s="183"/>
      <c r="F83" s="183"/>
      <c r="G83" s="183"/>
      <c r="H83" s="183"/>
      <c r="I83" s="183"/>
      <c r="J83" s="183"/>
      <c r="K83" s="183"/>
      <c r="L83" s="184"/>
    </row>
    <row r="84" spans="1:12" ht="13.5" thickTop="1" x14ac:dyDescent="0.15">
      <c r="A84" s="182"/>
      <c r="B84" s="234">
        <v>0.03</v>
      </c>
      <c r="C84" s="267" t="s">
        <v>244</v>
      </c>
      <c r="D84" s="268"/>
      <c r="E84" s="183"/>
      <c r="F84" s="271">
        <f>B84/25.4</f>
        <v>1.1811023622047244E-3</v>
      </c>
      <c r="G84" s="267" t="s">
        <v>243</v>
      </c>
      <c r="H84" s="268"/>
      <c r="I84" s="183"/>
      <c r="J84" s="183"/>
      <c r="K84" s="183"/>
      <c r="L84" s="184"/>
    </row>
    <row r="85" spans="1:12" ht="13.5" thickBot="1" x14ac:dyDescent="0.2">
      <c r="A85" s="182"/>
      <c r="B85" s="235"/>
      <c r="C85" s="267"/>
      <c r="D85" s="268"/>
      <c r="E85" s="183"/>
      <c r="F85" s="272"/>
      <c r="G85" s="267"/>
      <c r="H85" s="268"/>
      <c r="I85" s="183"/>
      <c r="J85" s="183"/>
      <c r="K85" s="183"/>
      <c r="L85" s="184"/>
    </row>
    <row r="86" spans="1:12" ht="14.25" thickTop="1" thickBot="1" x14ac:dyDescent="0.2">
      <c r="A86" s="182"/>
      <c r="B86" s="183"/>
      <c r="C86" s="183"/>
      <c r="D86" s="183"/>
      <c r="E86" s="183"/>
      <c r="F86" s="183"/>
      <c r="G86" s="183"/>
      <c r="H86" s="183"/>
      <c r="I86" s="183"/>
      <c r="J86" s="183"/>
      <c r="K86" s="183"/>
      <c r="L86" s="184"/>
    </row>
    <row r="87" spans="1:12" ht="14.25" thickTop="1" thickBot="1" x14ac:dyDescent="0.2">
      <c r="A87" s="214"/>
      <c r="B87" s="215"/>
      <c r="C87" s="215"/>
      <c r="D87" s="215"/>
      <c r="E87" s="215"/>
      <c r="F87" s="215"/>
      <c r="G87" s="215"/>
      <c r="H87" s="215"/>
      <c r="I87" s="215"/>
      <c r="J87" s="215"/>
      <c r="K87" s="215"/>
      <c r="L87" s="216"/>
    </row>
    <row r="88" spans="1:12" ht="14.25" thickTop="1" thickBot="1" x14ac:dyDescent="0.2">
      <c r="A88" s="182"/>
      <c r="B88" s="183"/>
      <c r="C88" s="183"/>
      <c r="D88" s="183"/>
      <c r="E88" s="183"/>
      <c r="F88" s="183"/>
      <c r="G88" s="183"/>
      <c r="H88" s="183"/>
      <c r="I88" s="183"/>
      <c r="J88" s="183"/>
      <c r="K88" s="183"/>
      <c r="L88" s="184"/>
    </row>
    <row r="89" spans="1:12" ht="13.5" thickTop="1" x14ac:dyDescent="0.15">
      <c r="A89" s="234">
        <v>600</v>
      </c>
      <c r="B89" s="236" t="s">
        <v>234</v>
      </c>
      <c r="C89" s="224" t="s">
        <v>229</v>
      </c>
      <c r="D89" s="237">
        <f>A89*3.28083</f>
        <v>1968.498</v>
      </c>
      <c r="E89" s="221" t="s">
        <v>98</v>
      </c>
      <c r="F89" s="15"/>
      <c r="G89" s="222">
        <v>58</v>
      </c>
      <c r="H89" s="221" t="s">
        <v>235</v>
      </c>
      <c r="I89" s="224" t="s">
        <v>229</v>
      </c>
      <c r="J89" s="225">
        <f>G89/25.4</f>
        <v>2.2834645669291338</v>
      </c>
      <c r="K89" s="221" t="s">
        <v>236</v>
      </c>
      <c r="L89" s="16"/>
    </row>
    <row r="90" spans="1:12" ht="13.5" thickBot="1" x14ac:dyDescent="0.2">
      <c r="A90" s="235"/>
      <c r="B90" s="236"/>
      <c r="C90" s="224"/>
      <c r="D90" s="238"/>
      <c r="E90" s="221"/>
      <c r="F90" s="15"/>
      <c r="G90" s="223"/>
      <c r="H90" s="221"/>
      <c r="I90" s="224"/>
      <c r="J90" s="226"/>
      <c r="K90" s="221"/>
      <c r="L90" s="16"/>
    </row>
    <row r="91" spans="1:12" ht="13.5" thickTop="1" x14ac:dyDescent="0.15">
      <c r="A91" s="182"/>
      <c r="B91" s="183"/>
      <c r="C91" s="183"/>
      <c r="D91" s="183"/>
      <c r="E91" s="183"/>
      <c r="F91" s="183"/>
      <c r="G91" s="183"/>
      <c r="H91" s="183"/>
      <c r="I91" s="183"/>
      <c r="J91" s="183"/>
      <c r="K91" s="183"/>
      <c r="L91" s="184"/>
    </row>
    <row r="92" spans="1:12" ht="13.5" thickBot="1" x14ac:dyDescent="0.2">
      <c r="A92" s="187"/>
      <c r="B92" s="188"/>
      <c r="C92" s="188"/>
      <c r="D92" s="188"/>
      <c r="E92" s="188"/>
      <c r="F92" s="188"/>
      <c r="G92" s="188"/>
      <c r="H92" s="188"/>
      <c r="I92" s="188"/>
      <c r="J92" s="188"/>
      <c r="K92" s="188"/>
      <c r="L92" s="189"/>
    </row>
    <row r="93" spans="1:12" ht="13.5" thickTop="1" x14ac:dyDescent="0.15"/>
  </sheetData>
  <sheetProtection sheet="1" objects="1" scenarios="1"/>
  <mergeCells count="120">
    <mergeCell ref="K89:K90"/>
    <mergeCell ref="E89:E90"/>
    <mergeCell ref="G89:G90"/>
    <mergeCell ref="H89:H90"/>
    <mergeCell ref="I89:I90"/>
    <mergeCell ref="A89:A90"/>
    <mergeCell ref="B89:B90"/>
    <mergeCell ref="C89:C90"/>
    <mergeCell ref="D89:D90"/>
    <mergeCell ref="B84:B85"/>
    <mergeCell ref="C84:D85"/>
    <mergeCell ref="B81:B82"/>
    <mergeCell ref="C81:D82"/>
    <mergeCell ref="J89:J90"/>
    <mergeCell ref="F81:F82"/>
    <mergeCell ref="G81:H82"/>
    <mergeCell ref="F84:F85"/>
    <mergeCell ref="G84:H85"/>
    <mergeCell ref="J78:J79"/>
    <mergeCell ref="K78:K79"/>
    <mergeCell ref="F78:F79"/>
    <mergeCell ref="G78:H79"/>
    <mergeCell ref="B78:B79"/>
    <mergeCell ref="C78:D79"/>
    <mergeCell ref="A67:A68"/>
    <mergeCell ref="B67:B68"/>
    <mergeCell ref="C67:C68"/>
    <mergeCell ref="D67:D68"/>
    <mergeCell ref="J56:J57"/>
    <mergeCell ref="J67:J68"/>
    <mergeCell ref="K67:K68"/>
    <mergeCell ref="A71:L73"/>
    <mergeCell ref="B75:B76"/>
    <mergeCell ref="C75:D76"/>
    <mergeCell ref="F75:F76"/>
    <mergeCell ref="G75:H76"/>
    <mergeCell ref="E67:E68"/>
    <mergeCell ref="G67:G68"/>
    <mergeCell ref="H67:H68"/>
    <mergeCell ref="B59:B60"/>
    <mergeCell ref="C59:D60"/>
    <mergeCell ref="F59:F60"/>
    <mergeCell ref="G59:H60"/>
    <mergeCell ref="B62:B63"/>
    <mergeCell ref="C62:D63"/>
    <mergeCell ref="F62:F63"/>
    <mergeCell ref="G62:H63"/>
    <mergeCell ref="I67:I68"/>
    <mergeCell ref="A49:L51"/>
    <mergeCell ref="B53:B54"/>
    <mergeCell ref="C53:D54"/>
    <mergeCell ref="F53:F54"/>
    <mergeCell ref="G53:H54"/>
    <mergeCell ref="B56:B57"/>
    <mergeCell ref="C56:D57"/>
    <mergeCell ref="F56:F57"/>
    <mergeCell ref="G56:H57"/>
    <mergeCell ref="K56:K57"/>
    <mergeCell ref="J21:J22"/>
    <mergeCell ref="K21:K22"/>
    <mergeCell ref="A21:A22"/>
    <mergeCell ref="B21:B22"/>
    <mergeCell ref="C21:C22"/>
    <mergeCell ref="D21:D22"/>
    <mergeCell ref="E21:E22"/>
    <mergeCell ref="G21:G22"/>
    <mergeCell ref="H21:H22"/>
    <mergeCell ref="I21:I22"/>
    <mergeCell ref="J15:J16"/>
    <mergeCell ref="K15:L16"/>
    <mergeCell ref="A1:L3"/>
    <mergeCell ref="B5:B6"/>
    <mergeCell ref="C5:D6"/>
    <mergeCell ref="B8:B9"/>
    <mergeCell ref="C8:D9"/>
    <mergeCell ref="F5:F6"/>
    <mergeCell ref="G5:H6"/>
    <mergeCell ref="F8:F9"/>
    <mergeCell ref="K7:K8"/>
    <mergeCell ref="B12:B13"/>
    <mergeCell ref="C12:D13"/>
    <mergeCell ref="F12:F13"/>
    <mergeCell ref="G12:H13"/>
    <mergeCell ref="J12:J13"/>
    <mergeCell ref="K12:L13"/>
    <mergeCell ref="G8:H9"/>
    <mergeCell ref="J7:J8"/>
    <mergeCell ref="F15:F16"/>
    <mergeCell ref="G15:H16"/>
    <mergeCell ref="J31:J32"/>
    <mergeCell ref="K31:K32"/>
    <mergeCell ref="B32:B33"/>
    <mergeCell ref="C32:D33"/>
    <mergeCell ref="F32:F33"/>
    <mergeCell ref="A25:L27"/>
    <mergeCell ref="B29:B30"/>
    <mergeCell ref="C29:D30"/>
    <mergeCell ref="F29:F30"/>
    <mergeCell ref="G29:H30"/>
    <mergeCell ref="G32:H33"/>
    <mergeCell ref="B36:B37"/>
    <mergeCell ref="C36:D37"/>
    <mergeCell ref="F36:F37"/>
    <mergeCell ref="G36:H37"/>
    <mergeCell ref="A45:A46"/>
    <mergeCell ref="B45:B46"/>
    <mergeCell ref="C45:C46"/>
    <mergeCell ref="D45:D46"/>
    <mergeCell ref="K45:K46"/>
    <mergeCell ref="E45:E46"/>
    <mergeCell ref="G45:G46"/>
    <mergeCell ref="H45:H46"/>
    <mergeCell ref="I45:I46"/>
    <mergeCell ref="J45:J46"/>
    <mergeCell ref="K36:L37"/>
    <mergeCell ref="F39:F40"/>
    <mergeCell ref="G39:H40"/>
    <mergeCell ref="J39:J40"/>
    <mergeCell ref="K39:L40"/>
    <mergeCell ref="J36:J37"/>
  </mergeCells>
  <phoneticPr fontId="29"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4"/>
  </sheetPr>
  <dimension ref="A1:L59"/>
  <sheetViews>
    <sheetView showGridLines="0" showRowColHeaders="0" showOutlineSymbols="0" topLeftCell="A8" workbookViewId="0">
      <selection activeCell="B16" sqref="B16:B17"/>
    </sheetView>
  </sheetViews>
  <sheetFormatPr defaultRowHeight="12.75" x14ac:dyDescent="0.15"/>
  <sheetData>
    <row r="1" spans="1:12" ht="13.5" thickTop="1" x14ac:dyDescent="0.15">
      <c r="A1" s="279" t="s">
        <v>203</v>
      </c>
      <c r="B1" s="280"/>
      <c r="C1" s="280"/>
      <c r="D1" s="280"/>
      <c r="E1" s="280"/>
      <c r="F1" s="280"/>
      <c r="G1" s="280"/>
      <c r="H1" s="280"/>
      <c r="I1" s="280"/>
      <c r="J1" s="280"/>
      <c r="K1" s="280"/>
      <c r="L1" s="281"/>
    </row>
    <row r="2" spans="1:12" x14ac:dyDescent="0.15">
      <c r="A2" s="282"/>
      <c r="B2" s="283"/>
      <c r="C2" s="283"/>
      <c r="D2" s="283"/>
      <c r="E2" s="283"/>
      <c r="F2" s="283"/>
      <c r="G2" s="283"/>
      <c r="H2" s="283"/>
      <c r="I2" s="283"/>
      <c r="J2" s="283"/>
      <c r="K2" s="283"/>
      <c r="L2" s="284"/>
    </row>
    <row r="3" spans="1:12" ht="13.5" thickBot="1" x14ac:dyDescent="0.2">
      <c r="A3" s="285"/>
      <c r="B3" s="286"/>
      <c r="C3" s="286"/>
      <c r="D3" s="286"/>
      <c r="E3" s="286"/>
      <c r="F3" s="286"/>
      <c r="G3" s="286"/>
      <c r="H3" s="286"/>
      <c r="I3" s="286"/>
      <c r="J3" s="286"/>
      <c r="K3" s="286"/>
      <c r="L3" s="287"/>
    </row>
    <row r="4" spans="1:12" ht="14.25" thickTop="1" thickBot="1" x14ac:dyDescent="0.2">
      <c r="A4" s="182"/>
      <c r="B4" s="183"/>
      <c r="C4" s="183"/>
      <c r="D4" s="183"/>
      <c r="E4" s="183"/>
      <c r="F4" s="183"/>
      <c r="G4" s="183"/>
      <c r="H4" s="183"/>
      <c r="I4" s="183"/>
      <c r="J4" s="183"/>
      <c r="K4" s="183"/>
      <c r="L4" s="184"/>
    </row>
    <row r="5" spans="1:12" ht="13.5" thickTop="1" x14ac:dyDescent="0.15">
      <c r="A5" s="288" t="s">
        <v>218</v>
      </c>
      <c r="B5" s="289"/>
      <c r="C5" s="289"/>
      <c r="D5" s="289"/>
      <c r="E5" s="289"/>
      <c r="F5" s="289"/>
      <c r="G5" s="289"/>
      <c r="H5" s="289"/>
      <c r="I5" s="289"/>
      <c r="J5" s="289"/>
      <c r="K5" s="289"/>
      <c r="L5" s="290"/>
    </row>
    <row r="6" spans="1:12" x14ac:dyDescent="0.15">
      <c r="A6" s="291"/>
      <c r="B6" s="292"/>
      <c r="C6" s="292"/>
      <c r="D6" s="292"/>
      <c r="E6" s="292"/>
      <c r="F6" s="292"/>
      <c r="G6" s="292"/>
      <c r="H6" s="292"/>
      <c r="I6" s="292"/>
      <c r="J6" s="292"/>
      <c r="K6" s="292"/>
      <c r="L6" s="293"/>
    </row>
    <row r="7" spans="1:12" x14ac:dyDescent="0.15">
      <c r="A7" s="291"/>
      <c r="B7" s="292"/>
      <c r="C7" s="292"/>
      <c r="D7" s="292"/>
      <c r="E7" s="292"/>
      <c r="F7" s="292"/>
      <c r="G7" s="292"/>
      <c r="H7" s="292"/>
      <c r="I7" s="292"/>
      <c r="J7" s="292"/>
      <c r="K7" s="292"/>
      <c r="L7" s="293"/>
    </row>
    <row r="8" spans="1:12" x14ac:dyDescent="0.15">
      <c r="A8" s="291"/>
      <c r="B8" s="292"/>
      <c r="C8" s="292"/>
      <c r="D8" s="292"/>
      <c r="E8" s="292"/>
      <c r="F8" s="292"/>
      <c r="G8" s="292"/>
      <c r="H8" s="292"/>
      <c r="I8" s="292"/>
      <c r="J8" s="292"/>
      <c r="K8" s="292"/>
      <c r="L8" s="293"/>
    </row>
    <row r="9" spans="1:12" x14ac:dyDescent="0.15">
      <c r="A9" s="291"/>
      <c r="B9" s="292"/>
      <c r="C9" s="292"/>
      <c r="D9" s="292"/>
      <c r="E9" s="292"/>
      <c r="F9" s="292"/>
      <c r="G9" s="292"/>
      <c r="H9" s="292"/>
      <c r="I9" s="292"/>
      <c r="J9" s="292"/>
      <c r="K9" s="292"/>
      <c r="L9" s="293"/>
    </row>
    <row r="10" spans="1:12" ht="73.5" customHeight="1" thickBot="1" x14ac:dyDescent="0.2">
      <c r="A10" s="294"/>
      <c r="B10" s="295"/>
      <c r="C10" s="295"/>
      <c r="D10" s="295"/>
      <c r="E10" s="295"/>
      <c r="F10" s="295"/>
      <c r="G10" s="295"/>
      <c r="H10" s="295"/>
      <c r="I10" s="295"/>
      <c r="J10" s="295"/>
      <c r="K10" s="295"/>
      <c r="L10" s="296"/>
    </row>
    <row r="11" spans="1:12" ht="14.25" thickTop="1" thickBot="1" x14ac:dyDescent="0.2">
      <c r="A11" s="182"/>
      <c r="B11" s="183"/>
      <c r="C11" s="183"/>
      <c r="D11" s="183"/>
      <c r="E11" s="183"/>
      <c r="F11" s="183"/>
      <c r="G11" s="183"/>
      <c r="H11" s="183"/>
      <c r="I11" s="183"/>
      <c r="J11" s="183"/>
      <c r="K11" s="183"/>
      <c r="L11" s="184"/>
    </row>
    <row r="12" spans="1:12" ht="13.5" thickTop="1" x14ac:dyDescent="0.15">
      <c r="A12" s="297" t="s">
        <v>204</v>
      </c>
      <c r="B12" s="298"/>
      <c r="C12" s="298"/>
      <c r="D12" s="298"/>
      <c r="E12" s="298"/>
      <c r="F12" s="298"/>
      <c r="G12" s="298"/>
      <c r="H12" s="298"/>
      <c r="I12" s="298"/>
      <c r="J12" s="298"/>
      <c r="K12" s="298"/>
      <c r="L12" s="299"/>
    </row>
    <row r="13" spans="1:12" ht="13.5" thickBot="1" x14ac:dyDescent="0.2">
      <c r="A13" s="300"/>
      <c r="B13" s="301"/>
      <c r="C13" s="301"/>
      <c r="D13" s="301"/>
      <c r="E13" s="301"/>
      <c r="F13" s="301"/>
      <c r="G13" s="301"/>
      <c r="H13" s="301"/>
      <c r="I13" s="301"/>
      <c r="J13" s="301"/>
      <c r="K13" s="301"/>
      <c r="L13" s="302"/>
    </row>
    <row r="14" spans="1:12" ht="13.5" thickTop="1" x14ac:dyDescent="0.15">
      <c r="A14" s="182"/>
      <c r="B14" s="183"/>
      <c r="C14" s="183"/>
      <c r="D14" s="183"/>
      <c r="E14" s="183"/>
      <c r="F14" s="183"/>
      <c r="G14" s="183"/>
      <c r="H14" s="183"/>
      <c r="I14" s="183"/>
      <c r="J14" s="183"/>
      <c r="K14" s="183"/>
      <c r="L14" s="184"/>
    </row>
    <row r="15" spans="1:12" ht="13.5" thickBot="1" x14ac:dyDescent="0.2">
      <c r="A15" s="182"/>
      <c r="B15" s="183"/>
      <c r="C15" s="183"/>
      <c r="D15" s="183"/>
      <c r="E15" s="183"/>
      <c r="F15" s="183"/>
      <c r="G15" s="183"/>
      <c r="H15" s="183"/>
      <c r="I15" s="183"/>
      <c r="J15" s="183"/>
      <c r="K15" s="183"/>
      <c r="L15" s="184"/>
    </row>
    <row r="16" spans="1:12" ht="13.5" thickTop="1" x14ac:dyDescent="0.15">
      <c r="A16" s="182"/>
      <c r="B16" s="273">
        <v>0.125</v>
      </c>
      <c r="C16" s="275" t="s">
        <v>205</v>
      </c>
      <c r="D16" s="276"/>
      <c r="E16" s="183"/>
      <c r="F16" s="273">
        <v>0.75</v>
      </c>
      <c r="G16" s="275" t="s">
        <v>207</v>
      </c>
      <c r="H16" s="276"/>
      <c r="I16" s="183"/>
      <c r="J16" s="183"/>
      <c r="K16" s="183"/>
      <c r="L16" s="184"/>
    </row>
    <row r="17" spans="1:12" ht="13.5" thickBot="1" x14ac:dyDescent="0.2">
      <c r="A17" s="182"/>
      <c r="B17" s="274"/>
      <c r="C17" s="275"/>
      <c r="D17" s="276"/>
      <c r="E17" s="183"/>
      <c r="F17" s="274"/>
      <c r="G17" s="275"/>
      <c r="H17" s="276"/>
      <c r="I17" s="183"/>
      <c r="J17" s="183"/>
      <c r="K17" s="183"/>
      <c r="L17" s="184"/>
    </row>
    <row r="18" spans="1:12" ht="13.5" thickTop="1" x14ac:dyDescent="0.15">
      <c r="A18" s="182"/>
      <c r="B18" s="183"/>
      <c r="C18" s="183"/>
      <c r="D18" s="183"/>
      <c r="E18" s="183"/>
      <c r="F18" s="183"/>
      <c r="G18" s="183"/>
      <c r="H18" s="183"/>
      <c r="I18" s="183"/>
      <c r="J18" s="183"/>
      <c r="K18" s="183"/>
      <c r="L18" s="184"/>
    </row>
    <row r="19" spans="1:12" ht="13.5" thickBot="1" x14ac:dyDescent="0.2">
      <c r="A19" s="182"/>
      <c r="B19" s="183"/>
      <c r="C19" s="183"/>
      <c r="D19" s="183"/>
      <c r="E19" s="183"/>
      <c r="F19" s="183"/>
      <c r="G19" s="183"/>
      <c r="H19" s="183"/>
      <c r="I19" s="183"/>
      <c r="J19" s="183"/>
      <c r="K19" s="183"/>
      <c r="L19" s="184"/>
    </row>
    <row r="20" spans="1:12" ht="13.5" thickTop="1" x14ac:dyDescent="0.15">
      <c r="A20" s="182"/>
      <c r="B20" s="273">
        <v>0.01</v>
      </c>
      <c r="C20" s="275" t="s">
        <v>206</v>
      </c>
      <c r="D20" s="276"/>
      <c r="E20" s="183"/>
      <c r="F20" s="277">
        <v>5.0000000000000001E-3</v>
      </c>
      <c r="G20" s="275" t="s">
        <v>208</v>
      </c>
      <c r="H20" s="276"/>
      <c r="I20" s="183"/>
      <c r="J20" s="183"/>
      <c r="K20" s="183"/>
      <c r="L20" s="184"/>
    </row>
    <row r="21" spans="1:12" ht="13.5" thickBot="1" x14ac:dyDescent="0.2">
      <c r="A21" s="182"/>
      <c r="B21" s="274"/>
      <c r="C21" s="275"/>
      <c r="D21" s="276"/>
      <c r="E21" s="183"/>
      <c r="F21" s="278"/>
      <c r="G21" s="275"/>
      <c r="H21" s="276"/>
      <c r="I21" s="183"/>
      <c r="J21" s="183"/>
      <c r="K21" s="183"/>
      <c r="L21" s="184"/>
    </row>
    <row r="22" spans="1:12" ht="13.5" thickTop="1" x14ac:dyDescent="0.15">
      <c r="A22" s="182"/>
      <c r="B22" s="183"/>
      <c r="C22" s="183"/>
      <c r="D22" s="183"/>
      <c r="E22" s="183"/>
      <c r="F22" s="183"/>
      <c r="G22" s="183"/>
      <c r="H22" s="183"/>
      <c r="I22" s="183"/>
      <c r="J22" s="183"/>
      <c r="K22" s="183"/>
      <c r="L22" s="184"/>
    </row>
    <row r="23" spans="1:12" x14ac:dyDescent="0.15">
      <c r="A23" s="182"/>
      <c r="B23" s="183"/>
      <c r="C23" s="183"/>
      <c r="D23" s="183"/>
      <c r="E23" s="183"/>
      <c r="F23" s="183"/>
      <c r="G23" s="183"/>
      <c r="H23" s="183"/>
      <c r="I23" s="183"/>
      <c r="J23" s="183"/>
      <c r="K23" s="183"/>
      <c r="L23" s="184"/>
    </row>
    <row r="24" spans="1:12" ht="13.5" thickBot="1" x14ac:dyDescent="0.2">
      <c r="A24" s="182"/>
      <c r="B24" s="183"/>
      <c r="C24" s="183"/>
      <c r="D24" s="183"/>
      <c r="E24" s="183"/>
      <c r="F24" s="183"/>
      <c r="G24" s="183"/>
      <c r="H24" s="183"/>
      <c r="I24" s="183"/>
      <c r="J24" s="183"/>
      <c r="K24" s="183"/>
      <c r="L24" s="184"/>
    </row>
    <row r="25" spans="1:12" ht="13.5" thickTop="1" x14ac:dyDescent="0.15">
      <c r="A25" s="182"/>
      <c r="B25" s="303">
        <f>F20/B30/F30</f>
        <v>7.6792685497342255E-3</v>
      </c>
      <c r="C25" s="275" t="s">
        <v>209</v>
      </c>
      <c r="D25" s="276"/>
      <c r="E25" s="276"/>
      <c r="F25" s="183"/>
      <c r="G25" s="183"/>
      <c r="H25" s="305" t="str">
        <f>IF(B16&gt;F16,"ERROR - Tool Radius is larger than the radius to be generated"," ")</f>
        <v xml:space="preserve"> </v>
      </c>
      <c r="I25" s="305"/>
      <c r="J25" s="305"/>
      <c r="K25" s="305"/>
      <c r="L25" s="184"/>
    </row>
    <row r="26" spans="1:12" ht="13.5" thickBot="1" x14ac:dyDescent="0.2">
      <c r="A26" s="182"/>
      <c r="B26" s="304"/>
      <c r="C26" s="275"/>
      <c r="D26" s="276"/>
      <c r="E26" s="276"/>
      <c r="F26" s="183"/>
      <c r="G26" s="183"/>
      <c r="H26" s="305"/>
      <c r="I26" s="305"/>
      <c r="J26" s="305"/>
      <c r="K26" s="305"/>
      <c r="L26" s="184"/>
    </row>
    <row r="27" spans="1:12" ht="13.5" thickTop="1" x14ac:dyDescent="0.15">
      <c r="A27" s="182"/>
      <c r="B27" s="183"/>
      <c r="C27" s="183"/>
      <c r="D27" s="183"/>
      <c r="E27" s="183"/>
      <c r="F27" s="183"/>
      <c r="G27" s="183"/>
      <c r="H27" s="183"/>
      <c r="I27" s="183"/>
      <c r="J27" s="183"/>
      <c r="K27" s="183"/>
      <c r="L27" s="184"/>
    </row>
    <row r="28" spans="1:12" ht="13.5" thickBot="1" x14ac:dyDescent="0.2">
      <c r="A28" s="182"/>
      <c r="B28" s="183"/>
      <c r="C28" s="183"/>
      <c r="D28" s="183"/>
      <c r="E28" s="183"/>
      <c r="F28" s="183"/>
      <c r="G28" s="183"/>
      <c r="H28" s="183"/>
      <c r="I28" s="183"/>
      <c r="J28" s="183"/>
      <c r="K28" s="183"/>
      <c r="L28" s="184"/>
    </row>
    <row r="29" spans="1:12" hidden="1" x14ac:dyDescent="0.15">
      <c r="A29" s="197"/>
      <c r="B29" s="201" t="s">
        <v>210</v>
      </c>
      <c r="C29" s="202" t="s">
        <v>211</v>
      </c>
      <c r="D29" s="70" t="s">
        <v>196</v>
      </c>
      <c r="E29" s="203" t="s">
        <v>212</v>
      </c>
      <c r="F29" s="202" t="s">
        <v>213</v>
      </c>
      <c r="G29" s="71"/>
      <c r="H29" s="71"/>
      <c r="I29" s="71"/>
      <c r="J29" s="71"/>
      <c r="K29" s="71"/>
      <c r="L29" s="198"/>
    </row>
    <row r="30" spans="1:12" ht="13.5" hidden="1" thickBot="1" x14ac:dyDescent="0.2">
      <c r="A30" s="197"/>
      <c r="B30" s="70">
        <f>F16/(F16-B16)</f>
        <v>1.2</v>
      </c>
      <c r="C30" s="70">
        <f>(B16-B20)*B20</f>
        <v>1.15E-3</v>
      </c>
      <c r="D30" s="70">
        <f>SQRT(C30)</f>
        <v>3.3911649915626341E-2</v>
      </c>
      <c r="E30" s="71">
        <f>D30/(B16/2)</f>
        <v>0.54258639865002145</v>
      </c>
      <c r="F30" s="71">
        <f>IF(B20&gt;=(B16/2),1,E30)</f>
        <v>0.54258639865002145</v>
      </c>
      <c r="G30" s="71"/>
      <c r="H30" s="71"/>
      <c r="I30" s="71"/>
      <c r="J30" s="71"/>
      <c r="K30" s="71"/>
      <c r="L30" s="198"/>
    </row>
    <row r="31" spans="1:12" ht="13.5" thickTop="1" x14ac:dyDescent="0.15">
      <c r="A31" s="306" t="s">
        <v>216</v>
      </c>
      <c r="B31" s="307"/>
      <c r="C31" s="307"/>
      <c r="D31" s="307"/>
      <c r="E31" s="307"/>
      <c r="F31" s="307"/>
      <c r="G31" s="307"/>
      <c r="H31" s="307"/>
      <c r="I31" s="307"/>
      <c r="J31" s="307"/>
      <c r="K31" s="307"/>
      <c r="L31" s="308"/>
    </row>
    <row r="32" spans="1:12" x14ac:dyDescent="0.15">
      <c r="A32" s="309"/>
      <c r="B32" s="310"/>
      <c r="C32" s="310"/>
      <c r="D32" s="310"/>
      <c r="E32" s="310"/>
      <c r="F32" s="310"/>
      <c r="G32" s="310"/>
      <c r="H32" s="310"/>
      <c r="I32" s="310"/>
      <c r="J32" s="310"/>
      <c r="K32" s="310"/>
      <c r="L32" s="311"/>
    </row>
    <row r="33" spans="1:12" x14ac:dyDescent="0.15">
      <c r="A33" s="309"/>
      <c r="B33" s="310"/>
      <c r="C33" s="310"/>
      <c r="D33" s="310"/>
      <c r="E33" s="310"/>
      <c r="F33" s="310"/>
      <c r="G33" s="310"/>
      <c r="H33" s="310"/>
      <c r="I33" s="310"/>
      <c r="J33" s="310"/>
      <c r="K33" s="310"/>
      <c r="L33" s="311"/>
    </row>
    <row r="34" spans="1:12" ht="13.5" thickBot="1" x14ac:dyDescent="0.2">
      <c r="A34" s="312"/>
      <c r="B34" s="313"/>
      <c r="C34" s="313"/>
      <c r="D34" s="313"/>
      <c r="E34" s="313"/>
      <c r="F34" s="313"/>
      <c r="G34" s="313"/>
      <c r="H34" s="313"/>
      <c r="I34" s="313"/>
      <c r="J34" s="313"/>
      <c r="K34" s="313"/>
      <c r="L34" s="314"/>
    </row>
    <row r="35" spans="1:12" ht="14.25" thickTop="1" thickBot="1" x14ac:dyDescent="0.2">
      <c r="A35" s="187"/>
      <c r="B35" s="188"/>
      <c r="C35" s="188"/>
      <c r="D35" s="188"/>
      <c r="E35" s="188"/>
      <c r="F35" s="188"/>
      <c r="G35" s="188"/>
      <c r="H35" s="188"/>
      <c r="I35" s="188"/>
      <c r="J35" s="188"/>
      <c r="K35" s="188"/>
      <c r="L35" s="189"/>
    </row>
    <row r="36" spans="1:12" ht="13.5" thickTop="1" x14ac:dyDescent="0.15">
      <c r="A36" s="297" t="s">
        <v>214</v>
      </c>
      <c r="B36" s="298"/>
      <c r="C36" s="298"/>
      <c r="D36" s="298"/>
      <c r="E36" s="298"/>
      <c r="F36" s="298"/>
      <c r="G36" s="298"/>
      <c r="H36" s="298"/>
      <c r="I36" s="298"/>
      <c r="J36" s="298"/>
      <c r="K36" s="298"/>
      <c r="L36" s="299"/>
    </row>
    <row r="37" spans="1:12" ht="13.5" thickBot="1" x14ac:dyDescent="0.2">
      <c r="A37" s="300"/>
      <c r="B37" s="301"/>
      <c r="C37" s="301"/>
      <c r="D37" s="301"/>
      <c r="E37" s="301"/>
      <c r="F37" s="301"/>
      <c r="G37" s="301"/>
      <c r="H37" s="301"/>
      <c r="I37" s="301"/>
      <c r="J37" s="301"/>
      <c r="K37" s="301"/>
      <c r="L37" s="302"/>
    </row>
    <row r="38" spans="1:12" ht="13.5" thickTop="1" x14ac:dyDescent="0.15">
      <c r="A38" s="182"/>
      <c r="B38" s="183"/>
      <c r="C38" s="183"/>
      <c r="D38" s="183"/>
      <c r="E38" s="183"/>
      <c r="F38" s="183"/>
      <c r="G38" s="183"/>
      <c r="H38" s="183"/>
      <c r="I38" s="183"/>
      <c r="J38" s="183"/>
      <c r="K38" s="183"/>
      <c r="L38" s="184"/>
    </row>
    <row r="39" spans="1:12" ht="13.5" thickBot="1" x14ac:dyDescent="0.2">
      <c r="A39" s="182"/>
      <c r="B39" s="183"/>
      <c r="C39" s="183"/>
      <c r="D39" s="183"/>
      <c r="E39" s="183"/>
      <c r="F39" s="183"/>
      <c r="G39" s="183"/>
      <c r="H39" s="183"/>
      <c r="I39" s="183"/>
      <c r="J39" s="183"/>
      <c r="K39" s="183"/>
      <c r="L39" s="184"/>
    </row>
    <row r="40" spans="1:12" ht="13.5" thickTop="1" x14ac:dyDescent="0.15">
      <c r="A40" s="182"/>
      <c r="B40" s="273">
        <v>1</v>
      </c>
      <c r="C40" s="275" t="s">
        <v>205</v>
      </c>
      <c r="D40" s="276"/>
      <c r="E40" s="183"/>
      <c r="F40" s="273">
        <v>4</v>
      </c>
      <c r="G40" s="275" t="s">
        <v>207</v>
      </c>
      <c r="H40" s="276"/>
      <c r="I40" s="183"/>
      <c r="J40" s="183"/>
      <c r="K40" s="183"/>
      <c r="L40" s="184"/>
    </row>
    <row r="41" spans="1:12" ht="13.5" thickBot="1" x14ac:dyDescent="0.2">
      <c r="A41" s="182"/>
      <c r="B41" s="274"/>
      <c r="C41" s="275"/>
      <c r="D41" s="276"/>
      <c r="E41" s="183"/>
      <c r="F41" s="274"/>
      <c r="G41" s="275"/>
      <c r="H41" s="276"/>
      <c r="I41" s="183"/>
      <c r="J41" s="183"/>
      <c r="K41" s="183"/>
      <c r="L41" s="184"/>
    </row>
    <row r="42" spans="1:12" ht="13.5" thickTop="1" x14ac:dyDescent="0.15">
      <c r="A42" s="182"/>
      <c r="B42" s="183"/>
      <c r="C42" s="183"/>
      <c r="D42" s="183"/>
      <c r="E42" s="183"/>
      <c r="F42" s="183"/>
      <c r="G42" s="183"/>
      <c r="H42" s="183"/>
      <c r="I42" s="183"/>
      <c r="J42" s="183"/>
      <c r="K42" s="183"/>
      <c r="L42" s="184"/>
    </row>
    <row r="43" spans="1:12" ht="13.5" thickBot="1" x14ac:dyDescent="0.2">
      <c r="A43" s="182"/>
      <c r="B43" s="183"/>
      <c r="C43" s="183"/>
      <c r="D43" s="183"/>
      <c r="E43" s="183"/>
      <c r="F43" s="183"/>
      <c r="G43" s="183"/>
      <c r="H43" s="183"/>
      <c r="I43" s="183"/>
      <c r="J43" s="183"/>
      <c r="K43" s="183"/>
      <c r="L43" s="184"/>
    </row>
    <row r="44" spans="1:12" ht="13.5" thickTop="1" x14ac:dyDescent="0.15">
      <c r="A44" s="182"/>
      <c r="B44" s="273">
        <v>0.5</v>
      </c>
      <c r="C44" s="275" t="s">
        <v>206</v>
      </c>
      <c r="D44" s="276"/>
      <c r="E44" s="183"/>
      <c r="F44" s="277">
        <v>5.0000000000000001E-3</v>
      </c>
      <c r="G44" s="275" t="s">
        <v>208</v>
      </c>
      <c r="H44" s="276"/>
      <c r="I44" s="183"/>
      <c r="J44" s="183"/>
      <c r="K44" s="183"/>
      <c r="L44" s="184"/>
    </row>
    <row r="45" spans="1:12" ht="13.5" thickBot="1" x14ac:dyDescent="0.2">
      <c r="A45" s="182"/>
      <c r="B45" s="274"/>
      <c r="C45" s="275"/>
      <c r="D45" s="276"/>
      <c r="E45" s="183"/>
      <c r="F45" s="278"/>
      <c r="G45" s="275"/>
      <c r="H45" s="276"/>
      <c r="I45" s="183"/>
      <c r="J45" s="183"/>
      <c r="K45" s="183"/>
      <c r="L45" s="184"/>
    </row>
    <row r="46" spans="1:12" ht="13.5" thickTop="1" x14ac:dyDescent="0.15">
      <c r="A46" s="182"/>
      <c r="B46" s="183"/>
      <c r="C46" s="183"/>
      <c r="D46" s="183"/>
      <c r="E46" s="183"/>
      <c r="F46" s="183"/>
      <c r="G46" s="183"/>
      <c r="H46" s="183"/>
      <c r="I46" s="183"/>
      <c r="J46" s="183"/>
      <c r="K46" s="183"/>
      <c r="L46" s="184"/>
    </row>
    <row r="47" spans="1:12" ht="13.5" thickBot="1" x14ac:dyDescent="0.2">
      <c r="A47" s="182"/>
      <c r="B47" s="183"/>
      <c r="C47" s="183"/>
      <c r="D47" s="183"/>
      <c r="E47" s="183"/>
      <c r="F47" s="183"/>
      <c r="G47" s="183"/>
      <c r="H47" s="183"/>
      <c r="I47" s="183"/>
      <c r="J47" s="183"/>
      <c r="K47" s="183"/>
      <c r="L47" s="184"/>
    </row>
    <row r="48" spans="1:12" ht="13.5" thickTop="1" x14ac:dyDescent="0.15">
      <c r="A48" s="182"/>
      <c r="B48" s="303">
        <f>F44/B59/F59</f>
        <v>6.2499999999999995E-3</v>
      </c>
      <c r="C48" s="275" t="s">
        <v>209</v>
      </c>
      <c r="D48" s="276"/>
      <c r="E48" s="276"/>
      <c r="F48" s="183"/>
      <c r="G48" s="183"/>
      <c r="H48" s="183"/>
      <c r="I48" s="183"/>
      <c r="J48" s="183"/>
      <c r="K48" s="183"/>
      <c r="L48" s="184"/>
    </row>
    <row r="49" spans="1:12" ht="13.5" thickBot="1" x14ac:dyDescent="0.2">
      <c r="A49" s="182"/>
      <c r="B49" s="304"/>
      <c r="C49" s="275"/>
      <c r="D49" s="276"/>
      <c r="E49" s="276"/>
      <c r="F49" s="183"/>
      <c r="G49" s="183"/>
      <c r="H49" s="183"/>
      <c r="I49" s="183"/>
      <c r="J49" s="183"/>
      <c r="K49" s="183"/>
      <c r="L49" s="184"/>
    </row>
    <row r="50" spans="1:12" ht="13.5" thickTop="1" x14ac:dyDescent="0.15">
      <c r="A50" s="182"/>
      <c r="B50" s="183"/>
      <c r="C50" s="183"/>
      <c r="D50" s="183"/>
      <c r="E50" s="183"/>
      <c r="F50" s="183"/>
      <c r="G50" s="183"/>
      <c r="H50" s="183"/>
      <c r="I50" s="183"/>
      <c r="J50" s="183"/>
      <c r="K50" s="183"/>
      <c r="L50" s="184"/>
    </row>
    <row r="51" spans="1:12" ht="13.5" thickBot="1" x14ac:dyDescent="0.2">
      <c r="A51" s="182"/>
      <c r="B51" s="183"/>
      <c r="C51" s="183"/>
      <c r="D51" s="183"/>
      <c r="E51" s="183"/>
      <c r="F51" s="183"/>
      <c r="G51" s="183"/>
      <c r="H51" s="183"/>
      <c r="I51" s="183"/>
      <c r="J51" s="183"/>
      <c r="K51" s="183"/>
      <c r="L51" s="184"/>
    </row>
    <row r="52" spans="1:12" ht="13.5" thickTop="1" x14ac:dyDescent="0.15">
      <c r="A52" s="306" t="s">
        <v>217</v>
      </c>
      <c r="B52" s="307"/>
      <c r="C52" s="307"/>
      <c r="D52" s="307"/>
      <c r="E52" s="307"/>
      <c r="F52" s="307"/>
      <c r="G52" s="307"/>
      <c r="H52" s="307"/>
      <c r="I52" s="307"/>
      <c r="J52" s="307"/>
      <c r="K52" s="307"/>
      <c r="L52" s="308"/>
    </row>
    <row r="53" spans="1:12" x14ac:dyDescent="0.15">
      <c r="A53" s="309"/>
      <c r="B53" s="310"/>
      <c r="C53" s="310"/>
      <c r="D53" s="310"/>
      <c r="E53" s="310"/>
      <c r="F53" s="310"/>
      <c r="G53" s="310"/>
      <c r="H53" s="310"/>
      <c r="I53" s="310"/>
      <c r="J53" s="310"/>
      <c r="K53" s="310"/>
      <c r="L53" s="311"/>
    </row>
    <row r="54" spans="1:12" x14ac:dyDescent="0.15">
      <c r="A54" s="309"/>
      <c r="B54" s="310"/>
      <c r="C54" s="310"/>
      <c r="D54" s="310"/>
      <c r="E54" s="310"/>
      <c r="F54" s="310"/>
      <c r="G54" s="310"/>
      <c r="H54" s="310"/>
      <c r="I54" s="310"/>
      <c r="J54" s="310"/>
      <c r="K54" s="310"/>
      <c r="L54" s="311"/>
    </row>
    <row r="55" spans="1:12" ht="13.5" thickBot="1" x14ac:dyDescent="0.2">
      <c r="A55" s="312"/>
      <c r="B55" s="313"/>
      <c r="C55" s="313"/>
      <c r="D55" s="313"/>
      <c r="E55" s="313"/>
      <c r="F55" s="313"/>
      <c r="G55" s="313"/>
      <c r="H55" s="313"/>
      <c r="I55" s="313"/>
      <c r="J55" s="313"/>
      <c r="K55" s="313"/>
      <c r="L55" s="314"/>
    </row>
    <row r="56" spans="1:12" ht="14.25" thickTop="1" thickBot="1" x14ac:dyDescent="0.2">
      <c r="A56" s="187"/>
      <c r="B56" s="188"/>
      <c r="C56" s="188"/>
      <c r="D56" s="188"/>
      <c r="E56" s="188"/>
      <c r="F56" s="188"/>
      <c r="G56" s="188"/>
      <c r="H56" s="188"/>
      <c r="I56" s="188"/>
      <c r="J56" s="188"/>
      <c r="K56" s="188"/>
      <c r="L56" s="189"/>
    </row>
    <row r="57" spans="1:12" ht="13.5" thickTop="1" x14ac:dyDescent="0.15"/>
    <row r="58" spans="1:12" hidden="1" x14ac:dyDescent="0.15">
      <c r="B58" s="201" t="s">
        <v>215</v>
      </c>
      <c r="C58" s="202" t="s">
        <v>211</v>
      </c>
      <c r="D58" s="70" t="s">
        <v>196</v>
      </c>
      <c r="E58" s="203" t="s">
        <v>212</v>
      </c>
      <c r="F58" s="202" t="s">
        <v>213</v>
      </c>
    </row>
    <row r="59" spans="1:12" hidden="1" x14ac:dyDescent="0.15">
      <c r="B59" s="204">
        <f>F40/(F40+B40)</f>
        <v>0.8</v>
      </c>
      <c r="C59" s="204">
        <f>(B40-B44)*B44</f>
        <v>0.25</v>
      </c>
      <c r="D59" s="204">
        <f>SQRT(C59)</f>
        <v>0.5</v>
      </c>
      <c r="E59" s="204">
        <f>D59/(B40/2)</f>
        <v>1</v>
      </c>
      <c r="F59" s="204">
        <f>IF(B44&gt;=(B40/2),1,E59)</f>
        <v>1</v>
      </c>
    </row>
  </sheetData>
  <sheetProtection sheet="1" objects="1" scenarios="1"/>
  <mergeCells count="27">
    <mergeCell ref="A52:L55"/>
    <mergeCell ref="B44:B45"/>
    <mergeCell ref="C44:D45"/>
    <mergeCell ref="F44:F45"/>
    <mergeCell ref="G44:H45"/>
    <mergeCell ref="B40:B41"/>
    <mergeCell ref="C40:D41"/>
    <mergeCell ref="F40:F41"/>
    <mergeCell ref="G40:H41"/>
    <mergeCell ref="B48:B49"/>
    <mergeCell ref="C48:E49"/>
    <mergeCell ref="B25:B26"/>
    <mergeCell ref="C25:E26"/>
    <mergeCell ref="H25:K26"/>
    <mergeCell ref="A31:L34"/>
    <mergeCell ref="A36:L37"/>
    <mergeCell ref="B20:B21"/>
    <mergeCell ref="C20:D21"/>
    <mergeCell ref="F20:F21"/>
    <mergeCell ref="G20:H21"/>
    <mergeCell ref="A1:L3"/>
    <mergeCell ref="A5:L10"/>
    <mergeCell ref="A12:L13"/>
    <mergeCell ref="B16:B17"/>
    <mergeCell ref="C16:D17"/>
    <mergeCell ref="F16:F17"/>
    <mergeCell ref="G16:H17"/>
  </mergeCells>
  <phoneticPr fontId="29" type="noConversion"/>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L25"/>
  <sheetViews>
    <sheetView showGridLines="0" showRowColHeaders="0" showOutlineSymbols="0" workbookViewId="0">
      <selection activeCell="H21" sqref="H21"/>
    </sheetView>
  </sheetViews>
  <sheetFormatPr defaultRowHeight="12.75" x14ac:dyDescent="0.15"/>
  <cols>
    <col min="9" max="9" width="9.57421875" customWidth="1"/>
  </cols>
  <sheetData>
    <row r="1" spans="1:12" ht="13.5" thickTop="1" x14ac:dyDescent="0.15">
      <c r="A1" s="315" t="s">
        <v>191</v>
      </c>
      <c r="B1" s="316"/>
      <c r="C1" s="316"/>
      <c r="D1" s="316"/>
      <c r="E1" s="316"/>
      <c r="F1" s="316"/>
      <c r="G1" s="316"/>
      <c r="H1" s="316"/>
      <c r="I1" s="316"/>
      <c r="J1" s="316"/>
      <c r="K1" s="316"/>
      <c r="L1" s="317"/>
    </row>
    <row r="2" spans="1:12" x14ac:dyDescent="0.15">
      <c r="A2" s="318"/>
      <c r="B2" s="319"/>
      <c r="C2" s="319"/>
      <c r="D2" s="319"/>
      <c r="E2" s="319"/>
      <c r="F2" s="319"/>
      <c r="G2" s="319"/>
      <c r="H2" s="319"/>
      <c r="I2" s="319"/>
      <c r="J2" s="319"/>
      <c r="K2" s="319"/>
      <c r="L2" s="320"/>
    </row>
    <row r="3" spans="1:12" ht="13.5" thickBot="1" x14ac:dyDescent="0.2">
      <c r="A3" s="321"/>
      <c r="B3" s="322"/>
      <c r="C3" s="322"/>
      <c r="D3" s="322"/>
      <c r="E3" s="322"/>
      <c r="F3" s="322"/>
      <c r="G3" s="322"/>
      <c r="H3" s="322"/>
      <c r="I3" s="322"/>
      <c r="J3" s="322"/>
      <c r="K3" s="322"/>
      <c r="L3" s="323"/>
    </row>
    <row r="4" spans="1:12" ht="14.25" thickTop="1" thickBot="1" x14ac:dyDescent="0.2">
      <c r="A4" s="182"/>
      <c r="B4" s="183"/>
      <c r="C4" s="183"/>
      <c r="D4" s="183"/>
      <c r="E4" s="183"/>
      <c r="F4" s="183"/>
      <c r="G4" s="183"/>
      <c r="H4" s="183"/>
      <c r="I4" s="183"/>
      <c r="J4" s="183"/>
      <c r="K4" s="183"/>
      <c r="L4" s="184"/>
    </row>
    <row r="5" spans="1:12" ht="13.5" thickTop="1" x14ac:dyDescent="0.15">
      <c r="A5" s="324" t="s">
        <v>202</v>
      </c>
      <c r="B5" s="325"/>
      <c r="C5" s="325"/>
      <c r="D5" s="325"/>
      <c r="E5" s="325"/>
      <c r="F5" s="325"/>
      <c r="G5" s="325"/>
      <c r="H5" s="325"/>
      <c r="I5" s="325"/>
      <c r="J5" s="325"/>
      <c r="K5" s="325"/>
      <c r="L5" s="326"/>
    </row>
    <row r="6" spans="1:12" ht="39" customHeight="1" thickBot="1" x14ac:dyDescent="0.2">
      <c r="A6" s="327"/>
      <c r="B6" s="328"/>
      <c r="C6" s="328"/>
      <c r="D6" s="328"/>
      <c r="E6" s="328"/>
      <c r="F6" s="328"/>
      <c r="G6" s="328"/>
      <c r="H6" s="328"/>
      <c r="I6" s="328"/>
      <c r="J6" s="328"/>
      <c r="K6" s="328"/>
      <c r="L6" s="329"/>
    </row>
    <row r="7" spans="1:12" ht="14.25" thickTop="1" thickBot="1" x14ac:dyDescent="0.2">
      <c r="A7" s="182"/>
      <c r="B7" s="183"/>
      <c r="C7" s="183"/>
      <c r="D7" s="183"/>
      <c r="E7" s="183"/>
      <c r="F7" s="183"/>
      <c r="G7" s="183"/>
      <c r="H7" s="183"/>
      <c r="I7" s="183"/>
      <c r="J7" s="183"/>
      <c r="K7" s="183"/>
      <c r="L7" s="184"/>
    </row>
    <row r="8" spans="1:12" ht="13.5" thickTop="1" x14ac:dyDescent="0.15">
      <c r="A8" s="182"/>
      <c r="B8" s="183"/>
      <c r="C8" s="277">
        <v>0.5</v>
      </c>
      <c r="D8" s="275" t="s">
        <v>164</v>
      </c>
      <c r="E8" s="276"/>
      <c r="F8" s="183"/>
      <c r="G8" s="183"/>
      <c r="H8" s="330">
        <v>0.5</v>
      </c>
      <c r="I8" s="275" t="s">
        <v>192</v>
      </c>
      <c r="J8" s="276"/>
      <c r="K8" s="183"/>
      <c r="L8" s="184"/>
    </row>
    <row r="9" spans="1:12" ht="13.5" thickBot="1" x14ac:dyDescent="0.2">
      <c r="A9" s="182"/>
      <c r="B9" s="183"/>
      <c r="C9" s="278"/>
      <c r="D9" s="275"/>
      <c r="E9" s="276"/>
      <c r="F9" s="183"/>
      <c r="G9" s="183"/>
      <c r="H9" s="331"/>
      <c r="I9" s="275"/>
      <c r="J9" s="276"/>
      <c r="K9" s="183"/>
      <c r="L9" s="184"/>
    </row>
    <row r="10" spans="1:12" ht="13.5" thickTop="1" x14ac:dyDescent="0.15">
      <c r="A10" s="182"/>
      <c r="B10" s="183"/>
      <c r="C10" s="183"/>
      <c r="D10" s="183"/>
      <c r="E10" s="183"/>
      <c r="F10" s="183"/>
      <c r="G10" s="183"/>
      <c r="H10" s="183"/>
      <c r="I10" s="183"/>
      <c r="J10" s="183"/>
      <c r="K10" s="183"/>
      <c r="L10" s="184"/>
    </row>
    <row r="11" spans="1:12" ht="13.5" thickBot="1" x14ac:dyDescent="0.2">
      <c r="A11" s="182"/>
      <c r="B11" s="183"/>
      <c r="C11" s="183"/>
      <c r="D11" s="183"/>
      <c r="E11" s="183"/>
      <c r="F11" s="183"/>
      <c r="G11" s="183"/>
      <c r="H11" s="183"/>
      <c r="I11" s="183"/>
      <c r="J11" s="183"/>
      <c r="K11" s="183"/>
      <c r="L11" s="184"/>
    </row>
    <row r="12" spans="1:12" ht="13.5" thickTop="1" x14ac:dyDescent="0.15">
      <c r="A12" s="182"/>
      <c r="B12" s="183"/>
      <c r="C12" s="277">
        <v>4.4999999999999997E-3</v>
      </c>
      <c r="D12" s="275" t="s">
        <v>193</v>
      </c>
      <c r="E12" s="276"/>
      <c r="F12" s="183"/>
      <c r="G12" s="183"/>
      <c r="H12" s="332">
        <f>C12/H16</f>
        <v>4.4999999999999997E-3</v>
      </c>
      <c r="I12" s="275" t="s">
        <v>194</v>
      </c>
      <c r="J12" s="276"/>
      <c r="K12" s="183"/>
      <c r="L12" s="184"/>
    </row>
    <row r="13" spans="1:12" ht="13.5" thickBot="1" x14ac:dyDescent="0.2">
      <c r="A13" s="182"/>
      <c r="B13" s="183"/>
      <c r="C13" s="278"/>
      <c r="D13" s="275"/>
      <c r="E13" s="276"/>
      <c r="F13" s="183"/>
      <c r="G13" s="183"/>
      <c r="H13" s="333"/>
      <c r="I13" s="275"/>
      <c r="J13" s="276"/>
      <c r="K13" s="183"/>
      <c r="L13" s="184"/>
    </row>
    <row r="14" spans="1:12" ht="13.5" thickTop="1" x14ac:dyDescent="0.15">
      <c r="A14" s="182"/>
      <c r="B14" s="183"/>
      <c r="C14" s="183"/>
      <c r="D14" s="183"/>
      <c r="E14" s="183"/>
      <c r="F14" s="183"/>
      <c r="G14" s="183"/>
      <c r="H14" s="183"/>
      <c r="I14" s="183"/>
      <c r="J14" s="183"/>
      <c r="K14" s="183"/>
      <c r="L14" s="184"/>
    </row>
    <row r="15" spans="1:12" hidden="1" x14ac:dyDescent="0.15">
      <c r="A15" s="182"/>
      <c r="B15" s="199" t="s">
        <v>195</v>
      </c>
      <c r="C15" s="183"/>
      <c r="D15" s="192" t="s">
        <v>196</v>
      </c>
      <c r="E15" s="183"/>
      <c r="F15" s="192" t="s">
        <v>197</v>
      </c>
      <c r="G15" s="183"/>
      <c r="H15" s="192" t="s">
        <v>198</v>
      </c>
      <c r="I15" s="183"/>
      <c r="J15" s="183"/>
      <c r="K15" s="183"/>
      <c r="L15" s="184"/>
    </row>
    <row r="16" spans="1:12" hidden="1" x14ac:dyDescent="0.15">
      <c r="A16" s="182"/>
      <c r="B16" s="192">
        <f>(C8-H8)*H8</f>
        <v>0</v>
      </c>
      <c r="C16" s="183"/>
      <c r="D16" s="192">
        <f>SQRT(B16)</f>
        <v>0</v>
      </c>
      <c r="E16" s="183"/>
      <c r="F16" s="192">
        <f>D16/(C8/2)</f>
        <v>0</v>
      </c>
      <c r="G16" s="183"/>
      <c r="H16" s="192">
        <f>IF(H8&gt;=(C8/2),1,F16)</f>
        <v>1</v>
      </c>
      <c r="I16" s="183"/>
      <c r="J16" s="183"/>
      <c r="K16" s="183"/>
      <c r="L16" s="184"/>
    </row>
    <row r="17" spans="1:12" ht="13.5" thickBot="1" x14ac:dyDescent="0.2">
      <c r="A17" s="182"/>
      <c r="B17" s="183"/>
      <c r="C17" s="183"/>
      <c r="D17" s="183"/>
      <c r="E17" s="183"/>
      <c r="F17" s="183"/>
      <c r="G17" s="183"/>
      <c r="H17" s="183"/>
      <c r="I17" s="183"/>
      <c r="J17" s="183"/>
      <c r="K17" s="183"/>
      <c r="L17" s="184"/>
    </row>
    <row r="18" spans="1:12" ht="13.5" customHeight="1" thickTop="1" x14ac:dyDescent="0.15">
      <c r="A18" s="182"/>
      <c r="B18" s="332">
        <f>C12*H16</f>
        <v>4.4999999999999997E-3</v>
      </c>
      <c r="C18" s="341" t="s">
        <v>199</v>
      </c>
      <c r="D18" s="342"/>
      <c r="E18" s="342"/>
      <c r="F18" s="342"/>
      <c r="G18" s="343"/>
      <c r="H18" s="200"/>
      <c r="I18" s="332">
        <f>H16</f>
        <v>1</v>
      </c>
      <c r="J18" s="340" t="s">
        <v>200</v>
      </c>
      <c r="K18" s="276"/>
      <c r="L18" s="184"/>
    </row>
    <row r="19" spans="1:12" ht="13.5" thickBot="1" x14ac:dyDescent="0.2">
      <c r="A19" s="182"/>
      <c r="B19" s="333"/>
      <c r="C19" s="341"/>
      <c r="D19" s="342"/>
      <c r="E19" s="342"/>
      <c r="F19" s="342"/>
      <c r="G19" s="343"/>
      <c r="H19" s="200"/>
      <c r="I19" s="333"/>
      <c r="J19" s="275"/>
      <c r="K19" s="276"/>
      <c r="L19" s="184"/>
    </row>
    <row r="20" spans="1:12" ht="13.5" thickTop="1" x14ac:dyDescent="0.15">
      <c r="A20" s="182"/>
      <c r="B20" s="183"/>
      <c r="C20" s="183"/>
      <c r="D20" s="183"/>
      <c r="E20" s="183"/>
      <c r="F20" s="183"/>
      <c r="G20" s="183"/>
      <c r="H20" s="183"/>
      <c r="I20" s="183"/>
      <c r="J20" s="183"/>
      <c r="K20" s="183"/>
      <c r="L20" s="184"/>
    </row>
    <row r="21" spans="1:12" ht="13.5" thickBot="1" x14ac:dyDescent="0.2">
      <c r="A21" s="182"/>
      <c r="B21" s="183"/>
      <c r="C21" s="183"/>
      <c r="D21" s="183"/>
      <c r="E21" s="183"/>
      <c r="F21" s="183"/>
      <c r="G21" s="183"/>
      <c r="H21" s="183"/>
      <c r="I21" s="183"/>
      <c r="J21" s="183"/>
      <c r="K21" s="183"/>
      <c r="L21" s="184"/>
    </row>
    <row r="22" spans="1:12" ht="13.5" thickTop="1" x14ac:dyDescent="0.15">
      <c r="A22" s="334" t="s">
        <v>201</v>
      </c>
      <c r="B22" s="335"/>
      <c r="C22" s="335"/>
      <c r="D22" s="335"/>
      <c r="E22" s="335"/>
      <c r="F22" s="335"/>
      <c r="G22" s="335"/>
      <c r="H22" s="335"/>
      <c r="I22" s="335"/>
      <c r="J22" s="335"/>
      <c r="K22" s="335"/>
      <c r="L22" s="336"/>
    </row>
    <row r="23" spans="1:12" ht="13.5" thickBot="1" x14ac:dyDescent="0.2">
      <c r="A23" s="337"/>
      <c r="B23" s="338"/>
      <c r="C23" s="338"/>
      <c r="D23" s="338"/>
      <c r="E23" s="338"/>
      <c r="F23" s="338"/>
      <c r="G23" s="338"/>
      <c r="H23" s="338"/>
      <c r="I23" s="338"/>
      <c r="J23" s="338"/>
      <c r="K23" s="338"/>
      <c r="L23" s="339"/>
    </row>
    <row r="24" spans="1:12" ht="14.25" thickTop="1" thickBot="1" x14ac:dyDescent="0.2">
      <c r="A24" s="187"/>
      <c r="B24" s="188"/>
      <c r="C24" s="188"/>
      <c r="D24" s="188"/>
      <c r="E24" s="188"/>
      <c r="F24" s="188"/>
      <c r="G24" s="188"/>
      <c r="H24" s="188"/>
      <c r="I24" s="188"/>
      <c r="J24" s="188"/>
      <c r="K24" s="188"/>
      <c r="L24" s="189"/>
    </row>
    <row r="25" spans="1:12" ht="13.5" thickTop="1" x14ac:dyDescent="0.15"/>
  </sheetData>
  <sheetProtection sheet="1" objects="1" scenarios="1"/>
  <mergeCells count="15">
    <mergeCell ref="C12:C13"/>
    <mergeCell ref="D12:E13"/>
    <mergeCell ref="H12:H13"/>
    <mergeCell ref="I12:J13"/>
    <mergeCell ref="A22:L23"/>
    <mergeCell ref="J18:K19"/>
    <mergeCell ref="C18:G19"/>
    <mergeCell ref="I18:I19"/>
    <mergeCell ref="B18:B19"/>
    <mergeCell ref="A1:L3"/>
    <mergeCell ref="A5:L6"/>
    <mergeCell ref="C8:C9"/>
    <mergeCell ref="D8:E9"/>
    <mergeCell ref="H8:H9"/>
    <mergeCell ref="I8:J9"/>
  </mergeCells>
  <phoneticPr fontId="29"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L26"/>
  <sheetViews>
    <sheetView showGridLines="0" showRowColHeaders="0" tabSelected="1" showOutlineSymbols="0" workbookViewId="0">
      <selection activeCell="F10" sqref="F10:F11"/>
    </sheetView>
  </sheetViews>
  <sheetFormatPr defaultRowHeight="12.75" x14ac:dyDescent="0.15"/>
  <sheetData>
    <row r="1" spans="1:12" ht="13.5" thickTop="1" x14ac:dyDescent="0.15">
      <c r="A1" s="349" t="s">
        <v>172</v>
      </c>
      <c r="B1" s="350"/>
      <c r="C1" s="350"/>
      <c r="D1" s="350"/>
      <c r="E1" s="350"/>
      <c r="F1" s="350"/>
      <c r="G1" s="350"/>
      <c r="H1" s="350"/>
      <c r="I1" s="350"/>
      <c r="J1" s="350"/>
      <c r="K1" s="350"/>
      <c r="L1" s="351"/>
    </row>
    <row r="2" spans="1:12" x14ac:dyDescent="0.15">
      <c r="A2" s="352"/>
      <c r="B2" s="353"/>
      <c r="C2" s="353"/>
      <c r="D2" s="353"/>
      <c r="E2" s="353"/>
      <c r="F2" s="353"/>
      <c r="G2" s="353"/>
      <c r="H2" s="353"/>
      <c r="I2" s="353"/>
      <c r="J2" s="353"/>
      <c r="K2" s="353"/>
      <c r="L2" s="354"/>
    </row>
    <row r="3" spans="1:12" ht="13.5" thickBot="1" x14ac:dyDescent="0.2">
      <c r="A3" s="355"/>
      <c r="B3" s="356"/>
      <c r="C3" s="356"/>
      <c r="D3" s="356"/>
      <c r="E3" s="356"/>
      <c r="F3" s="356"/>
      <c r="G3" s="356"/>
      <c r="H3" s="356"/>
      <c r="I3" s="356"/>
      <c r="J3" s="356"/>
      <c r="K3" s="356"/>
      <c r="L3" s="357"/>
    </row>
    <row r="4" spans="1:12" ht="13.5" thickTop="1" x14ac:dyDescent="0.15">
      <c r="A4" s="182"/>
      <c r="B4" s="183"/>
      <c r="C4" s="183"/>
      <c r="D4" s="183"/>
      <c r="E4" s="183"/>
      <c r="F4" s="183"/>
      <c r="G4" s="183"/>
      <c r="H4" s="183"/>
      <c r="I4" s="183"/>
      <c r="J4" s="183"/>
      <c r="K4" s="183"/>
      <c r="L4" s="184"/>
    </row>
    <row r="5" spans="1:12" x14ac:dyDescent="0.15">
      <c r="A5" s="358" t="s">
        <v>173</v>
      </c>
      <c r="B5" s="359"/>
      <c r="C5" s="359"/>
      <c r="D5" s="359"/>
      <c r="E5" s="359"/>
      <c r="F5" s="359"/>
      <c r="G5" s="359"/>
      <c r="H5" s="359"/>
      <c r="I5" s="359"/>
      <c r="J5" s="359"/>
      <c r="K5" s="359"/>
      <c r="L5" s="360"/>
    </row>
    <row r="6" spans="1:12" ht="36" customHeight="1" x14ac:dyDescent="0.15">
      <c r="A6" s="361"/>
      <c r="B6" s="362"/>
      <c r="C6" s="362"/>
      <c r="D6" s="362"/>
      <c r="E6" s="362"/>
      <c r="F6" s="362"/>
      <c r="G6" s="362"/>
      <c r="H6" s="362"/>
      <c r="I6" s="362"/>
      <c r="J6" s="362"/>
      <c r="K6" s="362"/>
      <c r="L6" s="363"/>
    </row>
    <row r="7" spans="1:12" x14ac:dyDescent="0.15">
      <c r="A7" s="182"/>
      <c r="B7" s="183"/>
      <c r="C7" s="183"/>
      <c r="D7" s="183"/>
      <c r="E7" s="183"/>
      <c r="F7" s="183"/>
      <c r="G7" s="183"/>
      <c r="H7" s="183"/>
      <c r="I7" s="183"/>
      <c r="J7" s="183"/>
      <c r="K7" s="183"/>
      <c r="L7" s="184"/>
    </row>
    <row r="8" spans="1:12" x14ac:dyDescent="0.15">
      <c r="A8" s="182"/>
      <c r="B8" s="183"/>
      <c r="C8" s="183"/>
      <c r="D8" s="183"/>
      <c r="E8" s="183"/>
      <c r="F8" s="183"/>
      <c r="G8" s="183"/>
      <c r="H8" s="183"/>
      <c r="I8" s="183"/>
      <c r="J8" s="183"/>
      <c r="K8" s="183"/>
      <c r="L8" s="184"/>
    </row>
    <row r="9" spans="1:12" ht="13.5" thickBot="1" x14ac:dyDescent="0.2">
      <c r="A9" s="182"/>
      <c r="B9" s="183"/>
      <c r="C9" s="183"/>
      <c r="D9" s="183"/>
      <c r="E9" s="183"/>
      <c r="F9" s="183"/>
      <c r="G9" s="183"/>
      <c r="H9" s="183"/>
      <c r="I9" s="183"/>
      <c r="J9" s="183"/>
      <c r="K9" s="183"/>
      <c r="L9" s="184"/>
    </row>
    <row r="10" spans="1:12" ht="13.5" thickTop="1" x14ac:dyDescent="0.15">
      <c r="A10" s="182"/>
      <c r="B10" s="183"/>
      <c r="C10" s="364">
        <v>1E-3</v>
      </c>
      <c r="D10" s="344" t="s">
        <v>174</v>
      </c>
      <c r="E10" s="183"/>
      <c r="F10" s="364">
        <v>45</v>
      </c>
      <c r="G10" s="366" t="s">
        <v>175</v>
      </c>
      <c r="H10" s="183"/>
      <c r="I10" s="347">
        <f>C10/C24</f>
        <v>1.414213562373095E-3</v>
      </c>
      <c r="J10" s="344" t="s">
        <v>176</v>
      </c>
      <c r="K10" s="183"/>
      <c r="L10" s="184"/>
    </row>
    <row r="11" spans="1:12" ht="19.5" customHeight="1" thickBot="1" x14ac:dyDescent="0.2">
      <c r="A11" s="182"/>
      <c r="B11" s="183"/>
      <c r="C11" s="365"/>
      <c r="D11" s="267"/>
      <c r="E11" s="183"/>
      <c r="F11" s="365"/>
      <c r="G11" s="366"/>
      <c r="H11" s="183"/>
      <c r="I11" s="348"/>
      <c r="J11" s="267"/>
      <c r="K11" s="183"/>
      <c r="L11" s="184"/>
    </row>
    <row r="12" spans="1:12" ht="14.25" thickTop="1" thickBot="1" x14ac:dyDescent="0.2">
      <c r="A12" s="182"/>
      <c r="B12" s="183"/>
      <c r="C12" s="183"/>
      <c r="D12" s="183"/>
      <c r="E12" s="183"/>
      <c r="F12" s="183"/>
      <c r="G12" s="183"/>
      <c r="H12" s="183"/>
      <c r="I12" s="183"/>
      <c r="J12" s="183"/>
      <c r="K12" s="183"/>
      <c r="L12" s="184"/>
    </row>
    <row r="13" spans="1:12" ht="13.5" thickTop="1" x14ac:dyDescent="0.15">
      <c r="A13" s="367" t="s">
        <v>177</v>
      </c>
      <c r="B13" s="368"/>
      <c r="C13" s="368"/>
      <c r="D13" s="368"/>
      <c r="E13" s="368"/>
      <c r="F13" s="368"/>
      <c r="G13" s="368"/>
      <c r="H13" s="368"/>
      <c r="I13" s="368"/>
      <c r="J13" s="368"/>
      <c r="K13" s="368"/>
      <c r="L13" s="369"/>
    </row>
    <row r="14" spans="1:12" ht="13.5" thickBot="1" x14ac:dyDescent="0.2">
      <c r="A14" s="370"/>
      <c r="B14" s="371"/>
      <c r="C14" s="371"/>
      <c r="D14" s="371"/>
      <c r="E14" s="371"/>
      <c r="F14" s="371"/>
      <c r="G14" s="371"/>
      <c r="H14" s="371"/>
      <c r="I14" s="371"/>
      <c r="J14" s="371"/>
      <c r="K14" s="371"/>
      <c r="L14" s="372"/>
    </row>
    <row r="15" spans="1:12" ht="13.5" thickTop="1" x14ac:dyDescent="0.15">
      <c r="A15" s="182"/>
      <c r="B15" s="183"/>
      <c r="C15" s="183"/>
      <c r="D15" s="183"/>
      <c r="E15" s="183"/>
      <c r="F15" s="183"/>
      <c r="G15" s="183"/>
      <c r="H15" s="183"/>
      <c r="I15" s="183"/>
      <c r="J15" s="183"/>
      <c r="K15" s="183"/>
      <c r="L15" s="184"/>
    </row>
    <row r="16" spans="1:12" ht="13.5" thickBot="1" x14ac:dyDescent="0.2">
      <c r="A16" s="373" t="s">
        <v>178</v>
      </c>
      <c r="B16" s="374"/>
      <c r="C16" s="375"/>
      <c r="D16" s="183"/>
      <c r="E16" s="183"/>
      <c r="F16" s="183"/>
      <c r="G16" s="183"/>
      <c r="H16" s="183"/>
      <c r="I16" s="183"/>
      <c r="J16" s="183"/>
      <c r="K16" s="183"/>
      <c r="L16" s="184"/>
    </row>
    <row r="17" spans="1:12" ht="13.5" thickTop="1" x14ac:dyDescent="0.15">
      <c r="A17" s="345" t="s">
        <v>179</v>
      </c>
      <c r="B17" s="346"/>
      <c r="C17" s="190" t="s">
        <v>180</v>
      </c>
      <c r="D17" s="183"/>
      <c r="E17" s="183"/>
      <c r="F17" s="347">
        <f>C10*C24</f>
        <v>7.0710678118654762E-4</v>
      </c>
      <c r="G17" s="366" t="s">
        <v>189</v>
      </c>
      <c r="H17" s="377"/>
      <c r="I17" s="183"/>
      <c r="J17" s="183"/>
      <c r="K17" s="183"/>
      <c r="L17" s="184"/>
    </row>
    <row r="18" spans="1:12" ht="13.5" thickBot="1" x14ac:dyDescent="0.2">
      <c r="A18" s="345" t="s">
        <v>181</v>
      </c>
      <c r="B18" s="376"/>
      <c r="C18" s="190" t="s">
        <v>182</v>
      </c>
      <c r="D18" s="183"/>
      <c r="E18" s="183"/>
      <c r="F18" s="348"/>
      <c r="G18" s="366"/>
      <c r="H18" s="377"/>
      <c r="I18" s="183"/>
      <c r="J18" s="183"/>
      <c r="K18" s="183"/>
      <c r="L18" s="184"/>
    </row>
    <row r="19" spans="1:12" ht="13.5" thickTop="1" x14ac:dyDescent="0.15">
      <c r="A19" s="345" t="s">
        <v>183</v>
      </c>
      <c r="B19" s="346"/>
      <c r="C19" s="190" t="s">
        <v>184</v>
      </c>
      <c r="D19" s="183"/>
      <c r="E19" s="183"/>
      <c r="F19" s="183"/>
      <c r="G19" s="183"/>
      <c r="H19" s="183"/>
      <c r="I19" s="183"/>
      <c r="J19" s="183"/>
      <c r="K19" s="183"/>
      <c r="L19" s="184"/>
    </row>
    <row r="20" spans="1:12" x14ac:dyDescent="0.15">
      <c r="A20" s="345" t="s">
        <v>185</v>
      </c>
      <c r="B20" s="346"/>
      <c r="C20" s="190" t="s">
        <v>186</v>
      </c>
      <c r="D20" s="183"/>
      <c r="E20" s="183"/>
      <c r="F20" s="183"/>
      <c r="G20" s="183"/>
      <c r="H20" s="183"/>
      <c r="I20" s="183"/>
      <c r="J20" s="183"/>
      <c r="K20" s="183"/>
      <c r="L20" s="184"/>
    </row>
    <row r="21" spans="1:12" x14ac:dyDescent="0.15">
      <c r="A21" s="345" t="s">
        <v>187</v>
      </c>
      <c r="B21" s="346"/>
      <c r="C21" s="191" t="s">
        <v>188</v>
      </c>
      <c r="D21" s="183"/>
      <c r="E21" s="183"/>
      <c r="F21" s="183"/>
      <c r="G21" s="183"/>
      <c r="H21" s="183"/>
      <c r="I21" s="183"/>
      <c r="J21" s="183"/>
      <c r="K21" s="183"/>
      <c r="L21" s="184"/>
    </row>
    <row r="22" spans="1:12" x14ac:dyDescent="0.15">
      <c r="A22" s="182"/>
      <c r="B22" s="183"/>
      <c r="C22" s="183"/>
      <c r="D22" s="183"/>
      <c r="E22" s="183"/>
      <c r="F22" s="183"/>
      <c r="G22" s="183"/>
      <c r="H22" s="183"/>
      <c r="I22" s="183"/>
      <c r="J22" s="183"/>
      <c r="K22" s="183"/>
      <c r="L22" s="184"/>
    </row>
    <row r="23" spans="1:12" hidden="1" x14ac:dyDescent="0.15">
      <c r="A23" s="182"/>
      <c r="B23" s="192" t="s">
        <v>94</v>
      </c>
      <c r="C23" s="192" t="s">
        <v>190</v>
      </c>
      <c r="D23" s="183"/>
      <c r="E23" s="183"/>
      <c r="F23" s="183"/>
      <c r="G23" s="183"/>
      <c r="H23" s="183"/>
      <c r="I23" s="183"/>
      <c r="J23" s="183"/>
      <c r="K23" s="183"/>
      <c r="L23" s="184"/>
    </row>
    <row r="24" spans="1:12" hidden="1" x14ac:dyDescent="0.15">
      <c r="A24" s="182"/>
      <c r="B24" s="192">
        <f>RADIANS(F10)</f>
        <v>0.78539816339744828</v>
      </c>
      <c r="C24" s="193">
        <f>COS(B24)</f>
        <v>0.70710678118654757</v>
      </c>
      <c r="D24" s="192"/>
      <c r="E24" s="183"/>
      <c r="F24" s="183"/>
      <c r="G24" s="183"/>
      <c r="H24" s="183"/>
      <c r="I24" s="183"/>
      <c r="J24" s="183"/>
      <c r="K24" s="183"/>
      <c r="L24" s="184"/>
    </row>
    <row r="25" spans="1:12" ht="13.5" thickBot="1" x14ac:dyDescent="0.2">
      <c r="A25" s="187"/>
      <c r="B25" s="188"/>
      <c r="C25" s="188"/>
      <c r="D25" s="188"/>
      <c r="E25" s="188"/>
      <c r="F25" s="188"/>
      <c r="G25" s="188"/>
      <c r="H25" s="188"/>
      <c r="I25" s="188"/>
      <c r="J25" s="188"/>
      <c r="K25" s="188"/>
      <c r="L25" s="189"/>
    </row>
    <row r="26" spans="1:12" ht="13.5" thickTop="1" x14ac:dyDescent="0.15"/>
  </sheetData>
  <sheetProtection sheet="1" objects="1" scenarios="1"/>
  <mergeCells count="17">
    <mergeCell ref="A19:B19"/>
    <mergeCell ref="J10:J11"/>
    <mergeCell ref="A20:B20"/>
    <mergeCell ref="A21:B21"/>
    <mergeCell ref="F17:F18"/>
    <mergeCell ref="A1:L3"/>
    <mergeCell ref="A5:L6"/>
    <mergeCell ref="C10:C11"/>
    <mergeCell ref="F10:F11"/>
    <mergeCell ref="I10:I11"/>
    <mergeCell ref="D10:D11"/>
    <mergeCell ref="G10:G11"/>
    <mergeCell ref="A13:L14"/>
    <mergeCell ref="A16:C16"/>
    <mergeCell ref="A17:B17"/>
    <mergeCell ref="A18:B18"/>
    <mergeCell ref="G17:H18"/>
  </mergeCells>
  <phoneticPr fontId="29"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L29"/>
  <sheetViews>
    <sheetView showGridLines="0" showRowColHeaders="0" showOutlineSymbols="0" workbookViewId="0">
      <selection activeCell="K8" sqref="K8"/>
    </sheetView>
  </sheetViews>
  <sheetFormatPr defaultRowHeight="12.75" x14ac:dyDescent="0.15"/>
  <sheetData>
    <row r="1" spans="1:12" ht="13.5" thickTop="1" x14ac:dyDescent="0.15">
      <c r="A1" s="390" t="s">
        <v>163</v>
      </c>
      <c r="B1" s="391"/>
      <c r="C1" s="391"/>
      <c r="D1" s="391"/>
      <c r="E1" s="391"/>
      <c r="F1" s="391"/>
      <c r="G1" s="391"/>
      <c r="H1" s="391"/>
      <c r="I1" s="391"/>
      <c r="J1" s="391"/>
      <c r="K1" s="391"/>
      <c r="L1" s="392"/>
    </row>
    <row r="2" spans="1:12" x14ac:dyDescent="0.15">
      <c r="A2" s="393"/>
      <c r="B2" s="394"/>
      <c r="C2" s="394"/>
      <c r="D2" s="394"/>
      <c r="E2" s="394"/>
      <c r="F2" s="394"/>
      <c r="G2" s="394"/>
      <c r="H2" s="394"/>
      <c r="I2" s="394"/>
      <c r="J2" s="394"/>
      <c r="K2" s="394"/>
      <c r="L2" s="395"/>
    </row>
    <row r="3" spans="1:12" x14ac:dyDescent="0.15">
      <c r="A3" s="396"/>
      <c r="B3" s="397"/>
      <c r="C3" s="397"/>
      <c r="D3" s="397"/>
      <c r="E3" s="397"/>
      <c r="F3" s="397"/>
      <c r="G3" s="397"/>
      <c r="H3" s="397"/>
      <c r="I3" s="397"/>
      <c r="J3" s="397"/>
      <c r="K3" s="397"/>
      <c r="L3" s="398"/>
    </row>
    <row r="4" spans="1:12" ht="13.5" thickBot="1" x14ac:dyDescent="0.2">
      <c r="A4" s="182"/>
      <c r="B4" s="183"/>
      <c r="C4" s="183"/>
      <c r="D4" s="183"/>
      <c r="E4" s="183"/>
      <c r="F4" s="183"/>
      <c r="G4" s="183"/>
      <c r="H4" s="183"/>
      <c r="I4" s="183"/>
      <c r="J4" s="183"/>
      <c r="K4" s="183"/>
      <c r="L4" s="184"/>
    </row>
    <row r="5" spans="1:12" ht="13.5" customHeight="1" thickTop="1" x14ac:dyDescent="0.15">
      <c r="A5" s="182"/>
      <c r="B5" s="183"/>
      <c r="C5" s="399">
        <v>3</v>
      </c>
      <c r="D5" s="401" t="s">
        <v>164</v>
      </c>
      <c r="E5" s="183"/>
      <c r="F5" s="403">
        <v>5</v>
      </c>
      <c r="G5" s="401" t="s">
        <v>165</v>
      </c>
      <c r="H5" s="183"/>
      <c r="I5" s="330">
        <v>6.0000000000000001E-3</v>
      </c>
      <c r="J5" s="405" t="s">
        <v>166</v>
      </c>
      <c r="K5" s="183"/>
      <c r="L5" s="184"/>
    </row>
    <row r="6" spans="1:12" ht="13.5" thickBot="1" x14ac:dyDescent="0.2">
      <c r="A6" s="182"/>
      <c r="B6" s="183"/>
      <c r="C6" s="400"/>
      <c r="D6" s="402"/>
      <c r="E6" s="183"/>
      <c r="F6" s="404"/>
      <c r="G6" s="401"/>
      <c r="H6" s="183"/>
      <c r="I6" s="331"/>
      <c r="J6" s="405"/>
      <c r="K6" s="183"/>
      <c r="L6" s="184"/>
    </row>
    <row r="7" spans="1:12" ht="13.5" thickTop="1" x14ac:dyDescent="0.15">
      <c r="A7" s="182"/>
      <c r="B7" s="183"/>
      <c r="C7" s="183"/>
      <c r="D7" s="183"/>
      <c r="E7" s="183"/>
      <c r="F7" s="183"/>
      <c r="G7" s="183"/>
      <c r="H7" s="183"/>
      <c r="I7" s="183"/>
      <c r="J7" s="183"/>
      <c r="K7" s="183"/>
      <c r="L7" s="184"/>
    </row>
    <row r="8" spans="1:12" ht="13.5" thickBot="1" x14ac:dyDescent="0.2">
      <c r="A8" s="182"/>
      <c r="B8" s="183"/>
      <c r="C8" s="183"/>
      <c r="D8" s="183"/>
      <c r="E8" s="183"/>
      <c r="F8" s="183"/>
      <c r="G8" s="183"/>
      <c r="H8" s="183"/>
      <c r="I8" s="183"/>
      <c r="J8" s="183"/>
      <c r="K8" s="183"/>
      <c r="L8" s="184"/>
    </row>
    <row r="9" spans="1:12" ht="13.5" thickTop="1" x14ac:dyDescent="0.15">
      <c r="A9" s="182"/>
      <c r="B9" s="183"/>
      <c r="C9" s="183"/>
      <c r="D9" s="183"/>
      <c r="E9" s="183"/>
      <c r="F9" s="406">
        <f>C25*250000</f>
        <v>75</v>
      </c>
      <c r="G9" s="408" t="s">
        <v>167</v>
      </c>
      <c r="H9" s="405"/>
      <c r="I9" s="183"/>
      <c r="J9" s="183"/>
      <c r="K9" s="183"/>
      <c r="L9" s="184"/>
    </row>
    <row r="10" spans="1:12" ht="13.5" thickBot="1" x14ac:dyDescent="0.2">
      <c r="A10" s="182"/>
      <c r="B10" s="183"/>
      <c r="C10" s="183"/>
      <c r="D10" s="183"/>
      <c r="E10" s="183"/>
      <c r="F10" s="407"/>
      <c r="G10" s="408"/>
      <c r="H10" s="405"/>
      <c r="I10" s="183"/>
      <c r="J10" s="183"/>
      <c r="K10" s="183"/>
      <c r="L10" s="184"/>
    </row>
    <row r="11" spans="1:12" ht="13.5" thickTop="1" x14ac:dyDescent="0.15">
      <c r="A11" s="182"/>
      <c r="B11" s="183"/>
      <c r="C11" s="183"/>
      <c r="D11" s="183"/>
      <c r="E11" s="183"/>
      <c r="F11" s="183"/>
      <c r="G11" s="183"/>
      <c r="H11" s="183"/>
      <c r="I11" s="183"/>
      <c r="J11" s="183"/>
      <c r="K11" s="183"/>
      <c r="L11" s="184"/>
    </row>
    <row r="12" spans="1:12" ht="13.5" thickBot="1" x14ac:dyDescent="0.2">
      <c r="A12" s="182"/>
      <c r="B12" s="183"/>
      <c r="C12" s="183"/>
      <c r="D12" s="183"/>
      <c r="E12" s="183"/>
      <c r="F12" s="183"/>
      <c r="G12" s="183"/>
      <c r="H12" s="183"/>
      <c r="I12" s="183"/>
      <c r="J12" s="183"/>
      <c r="K12" s="183"/>
      <c r="L12" s="184"/>
    </row>
    <row r="13" spans="1:12" ht="13.5" thickTop="1" x14ac:dyDescent="0.15">
      <c r="A13" s="378" t="s">
        <v>168</v>
      </c>
      <c r="B13" s="379"/>
      <c r="C13" s="379"/>
      <c r="D13" s="379"/>
      <c r="E13" s="379"/>
      <c r="F13" s="379"/>
      <c r="G13" s="379"/>
      <c r="H13" s="379"/>
      <c r="I13" s="379"/>
      <c r="J13" s="379"/>
      <c r="K13" s="379"/>
      <c r="L13" s="380"/>
    </row>
    <row r="14" spans="1:12" ht="13.5" thickBot="1" x14ac:dyDescent="0.2">
      <c r="A14" s="381"/>
      <c r="B14" s="382"/>
      <c r="C14" s="382"/>
      <c r="D14" s="382"/>
      <c r="E14" s="382"/>
      <c r="F14" s="382"/>
      <c r="G14" s="382"/>
      <c r="H14" s="382"/>
      <c r="I14" s="382"/>
      <c r="J14" s="382"/>
      <c r="K14" s="382"/>
      <c r="L14" s="383"/>
    </row>
    <row r="15" spans="1:12" ht="13.5" thickTop="1" x14ac:dyDescent="0.15">
      <c r="A15" s="182"/>
      <c r="B15" s="183"/>
      <c r="C15" s="183"/>
      <c r="D15" s="183"/>
      <c r="E15" s="183"/>
      <c r="F15" s="183"/>
      <c r="G15" s="183"/>
      <c r="H15" s="183"/>
      <c r="I15" s="183"/>
      <c r="J15" s="183"/>
      <c r="K15" s="183"/>
      <c r="L15" s="184"/>
    </row>
    <row r="16" spans="1:12" x14ac:dyDescent="0.15">
      <c r="A16" s="182"/>
      <c r="B16" s="183"/>
      <c r="C16" s="183"/>
      <c r="D16" s="183"/>
      <c r="E16" s="183"/>
      <c r="F16" s="183"/>
      <c r="G16" s="183"/>
      <c r="H16" s="183"/>
      <c r="I16" s="183"/>
      <c r="J16" s="183"/>
      <c r="K16" s="183"/>
      <c r="L16" s="184"/>
    </row>
    <row r="17" spans="1:12" x14ac:dyDescent="0.15">
      <c r="A17" s="182"/>
      <c r="B17" s="183"/>
      <c r="C17" s="183"/>
      <c r="D17" s="183"/>
      <c r="E17" s="183"/>
      <c r="F17" s="183"/>
      <c r="G17" s="183"/>
      <c r="H17" s="183"/>
      <c r="I17" s="183"/>
      <c r="J17" s="183"/>
      <c r="K17" s="183"/>
      <c r="L17" s="184"/>
    </row>
    <row r="18" spans="1:12" x14ac:dyDescent="0.15">
      <c r="A18" s="182"/>
      <c r="B18" s="183"/>
      <c r="C18" s="183"/>
      <c r="D18" s="183"/>
      <c r="E18" s="183"/>
      <c r="F18" s="183"/>
      <c r="G18" s="183"/>
      <c r="H18" s="183"/>
      <c r="I18" s="183"/>
      <c r="J18" s="183"/>
      <c r="K18" s="183"/>
      <c r="L18" s="184"/>
    </row>
    <row r="19" spans="1:12" x14ac:dyDescent="0.15">
      <c r="A19" s="182"/>
      <c r="B19" s="183"/>
      <c r="C19" s="183"/>
      <c r="D19" s="183"/>
      <c r="E19" s="183"/>
      <c r="F19" s="183"/>
      <c r="G19" s="183"/>
      <c r="H19" s="183"/>
      <c r="I19" s="183"/>
      <c r="J19" s="183"/>
      <c r="K19" s="183"/>
      <c r="L19" s="184"/>
    </row>
    <row r="20" spans="1:12" x14ac:dyDescent="0.15">
      <c r="A20" s="182"/>
      <c r="B20" s="183"/>
      <c r="C20" s="183"/>
      <c r="D20" s="183"/>
      <c r="E20" s="183"/>
      <c r="F20" s="183"/>
      <c r="G20" s="183"/>
      <c r="H20" s="183"/>
      <c r="I20" s="183"/>
      <c r="J20" s="183"/>
      <c r="K20" s="183"/>
      <c r="L20" s="184"/>
    </row>
    <row r="21" spans="1:12" x14ac:dyDescent="0.15">
      <c r="A21" s="182"/>
      <c r="B21" s="183"/>
      <c r="C21" s="183"/>
      <c r="D21" s="183"/>
      <c r="E21" s="183"/>
      <c r="F21" s="183"/>
      <c r="G21" s="183"/>
      <c r="H21" s="183"/>
      <c r="I21" s="183"/>
      <c r="J21" s="183"/>
      <c r="K21" s="183"/>
      <c r="L21" s="184"/>
    </row>
    <row r="22" spans="1:12" x14ac:dyDescent="0.15">
      <c r="A22" s="182"/>
      <c r="B22" s="183"/>
      <c r="C22" s="183"/>
      <c r="D22" s="183"/>
      <c r="E22" s="183"/>
      <c r="F22" s="183"/>
      <c r="G22" s="183"/>
      <c r="H22" s="183"/>
      <c r="I22" s="183"/>
      <c r="J22" s="183"/>
      <c r="K22" s="183"/>
      <c r="L22" s="184"/>
    </row>
    <row r="23" spans="1:12" ht="13.5" thickBot="1" x14ac:dyDescent="0.2">
      <c r="A23" s="182"/>
      <c r="B23" s="183"/>
      <c r="C23" s="183"/>
      <c r="D23" s="183"/>
      <c r="E23" s="183"/>
      <c r="F23" s="183"/>
      <c r="G23" s="183"/>
      <c r="H23" s="183"/>
      <c r="I23" s="183"/>
      <c r="J23" s="183"/>
      <c r="K23" s="183"/>
      <c r="L23" s="184"/>
    </row>
    <row r="24" spans="1:12" ht="13.5" hidden="1" thickBot="1" x14ac:dyDescent="0.2">
      <c r="A24" s="182"/>
      <c r="B24" s="47" t="s">
        <v>169</v>
      </c>
      <c r="C24" s="185" t="s">
        <v>170</v>
      </c>
      <c r="D24" s="183"/>
      <c r="E24" s="183"/>
      <c r="F24" s="183"/>
      <c r="G24" s="183"/>
      <c r="H24" s="183"/>
      <c r="I24" s="183"/>
      <c r="J24" s="183"/>
      <c r="K24" s="183"/>
      <c r="L24" s="184"/>
    </row>
    <row r="25" spans="1:12" ht="13.5" hidden="1" thickBot="1" x14ac:dyDescent="0.2">
      <c r="A25" s="182"/>
      <c r="B25" s="186">
        <f>F5*I5</f>
        <v>0.03</v>
      </c>
      <c r="C25" s="47">
        <f>B25*B25/C5</f>
        <v>2.9999999999999997E-4</v>
      </c>
      <c r="D25" s="183"/>
      <c r="E25" s="183"/>
      <c r="F25" s="183"/>
      <c r="G25" s="183"/>
      <c r="H25" s="183"/>
      <c r="I25" s="183"/>
      <c r="J25" s="183"/>
      <c r="K25" s="183"/>
      <c r="L25" s="184"/>
    </row>
    <row r="26" spans="1:12" ht="13.5" thickTop="1" x14ac:dyDescent="0.15">
      <c r="A26" s="384" t="s">
        <v>171</v>
      </c>
      <c r="B26" s="385"/>
      <c r="C26" s="385"/>
      <c r="D26" s="385"/>
      <c r="E26" s="385"/>
      <c r="F26" s="385"/>
      <c r="G26" s="385"/>
      <c r="H26" s="385"/>
      <c r="I26" s="385"/>
      <c r="J26" s="385"/>
      <c r="K26" s="385"/>
      <c r="L26" s="386"/>
    </row>
    <row r="27" spans="1:12" ht="32.25" customHeight="1" thickBot="1" x14ac:dyDescent="0.2">
      <c r="A27" s="387"/>
      <c r="B27" s="388"/>
      <c r="C27" s="388"/>
      <c r="D27" s="388"/>
      <c r="E27" s="388"/>
      <c r="F27" s="388"/>
      <c r="G27" s="388"/>
      <c r="H27" s="388"/>
      <c r="I27" s="388"/>
      <c r="J27" s="388"/>
      <c r="K27" s="388"/>
      <c r="L27" s="389"/>
    </row>
    <row r="28" spans="1:12" ht="14.25" thickTop="1" thickBot="1" x14ac:dyDescent="0.2">
      <c r="A28" s="187"/>
      <c r="B28" s="188"/>
      <c r="C28" s="188"/>
      <c r="D28" s="188"/>
      <c r="E28" s="188"/>
      <c r="F28" s="188"/>
      <c r="G28" s="188"/>
      <c r="H28" s="188"/>
      <c r="I28" s="188"/>
      <c r="J28" s="188"/>
      <c r="K28" s="188"/>
      <c r="L28" s="189"/>
    </row>
    <row r="29" spans="1:12" ht="13.5" thickTop="1" x14ac:dyDescent="0.15"/>
  </sheetData>
  <sheetProtection sheet="1" objects="1" scenarios="1"/>
  <mergeCells count="11">
    <mergeCell ref="A13:L14"/>
    <mergeCell ref="A26:L27"/>
    <mergeCell ref="A1:L3"/>
    <mergeCell ref="C5:C6"/>
    <mergeCell ref="D5:D6"/>
    <mergeCell ref="F5:F6"/>
    <mergeCell ref="G5:G6"/>
    <mergeCell ref="I5:I6"/>
    <mergeCell ref="J5:J6"/>
    <mergeCell ref="F9:F10"/>
    <mergeCell ref="G9:H10"/>
  </mergeCells>
  <phoneticPr fontId="29" type="noConversion"/>
  <pageMargins left="1.43" right="0.39" top="1.92" bottom="1" header="0.5" footer="0.5"/>
  <pageSetup orientation="landscape" r:id="rId1"/>
  <headerFooter alignWithMargins="0"/>
  <drawing r:id="rId2"/>
  <legacyDrawing r:id="rId3"/>
  <oleObjects>
    <mc:AlternateContent xmlns:mc="http://schemas.openxmlformats.org/markup-compatibility/2006">
      <mc:Choice Requires="x14">
        <oleObject progId="Equation.3" shapeId="2053" r:id="rId4">
          <objectPr defaultSize="0" autoPict="0" r:id="rId5">
            <anchor moveWithCells="1">
              <from>
                <xdr:col>2</xdr:col>
                <xdr:colOff>66675</xdr:colOff>
                <xdr:row>16</xdr:row>
                <xdr:rowOff>9525</xdr:rowOff>
              </from>
              <to>
                <xdr:col>6</xdr:col>
                <xdr:colOff>514350</xdr:colOff>
                <xdr:row>21</xdr:row>
                <xdr:rowOff>104775</xdr:rowOff>
              </to>
            </anchor>
          </objectPr>
        </oleObject>
      </mc:Choice>
      <mc:Fallback>
        <oleObject progId="Equation.3" shapeId="2053" r:id="rId4"/>
      </mc:Fallback>
    </mc:AlternateContent>
    <mc:AlternateContent xmlns:mc="http://schemas.openxmlformats.org/markup-compatibility/2006">
      <mc:Choice Requires="x14">
        <oleObject progId="Equation.3" shapeId="2058" r:id="rId6">
          <objectPr defaultSize="0" r:id="rId7">
            <anchor moveWithCells="1">
              <from>
                <xdr:col>9</xdr:col>
                <xdr:colOff>381000</xdr:colOff>
                <xdr:row>17</xdr:row>
                <xdr:rowOff>66675</xdr:rowOff>
              </from>
              <to>
                <xdr:col>9</xdr:col>
                <xdr:colOff>571500</xdr:colOff>
                <xdr:row>18</xdr:row>
                <xdr:rowOff>85725</xdr:rowOff>
              </to>
            </anchor>
          </objectPr>
        </oleObject>
      </mc:Choice>
      <mc:Fallback>
        <oleObject progId="Equation.3" shapeId="2058"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13"/>
    <pageSetUpPr fitToPage="1"/>
  </sheetPr>
  <dimension ref="A1:AB81"/>
  <sheetViews>
    <sheetView showGridLines="0" showRowColHeaders="0" showOutlineSymbols="0" topLeftCell="A18" zoomScale="101" workbookViewId="0">
      <selection activeCell="D20" sqref="D20:E20"/>
    </sheetView>
  </sheetViews>
  <sheetFormatPr defaultRowHeight="12.75" x14ac:dyDescent="0.15"/>
  <cols>
    <col min="1" max="11" width="9.84375" customWidth="1"/>
    <col min="12" max="14" width="0" hidden="1" customWidth="1"/>
    <col min="15" max="15" width="9.70703125" hidden="1" customWidth="1"/>
    <col min="16" max="29" width="0" hidden="1" customWidth="1"/>
  </cols>
  <sheetData>
    <row r="1" spans="1:28" ht="12.75" customHeight="1" thickTop="1" x14ac:dyDescent="0.15">
      <c r="A1" s="496" t="s">
        <v>55</v>
      </c>
      <c r="B1" s="497"/>
      <c r="C1" s="497"/>
      <c r="D1" s="497"/>
      <c r="E1" s="497"/>
      <c r="F1" s="497"/>
      <c r="G1" s="497"/>
      <c r="H1" s="497"/>
      <c r="I1" s="497"/>
      <c r="J1" s="497"/>
      <c r="K1" s="498"/>
    </row>
    <row r="2" spans="1:28" ht="12.75" customHeight="1" x14ac:dyDescent="0.15">
      <c r="A2" s="499"/>
      <c r="B2" s="500"/>
      <c r="C2" s="500"/>
      <c r="D2" s="500"/>
      <c r="E2" s="500"/>
      <c r="F2" s="500"/>
      <c r="G2" s="500"/>
      <c r="H2" s="500"/>
      <c r="I2" s="500"/>
      <c r="J2" s="500"/>
      <c r="K2" s="501"/>
    </row>
    <row r="3" spans="1:28" ht="12.75" customHeight="1" x14ac:dyDescent="0.15">
      <c r="A3" s="499"/>
      <c r="B3" s="500"/>
      <c r="C3" s="500"/>
      <c r="D3" s="500"/>
      <c r="E3" s="500"/>
      <c r="F3" s="500"/>
      <c r="G3" s="500"/>
      <c r="H3" s="500"/>
      <c r="I3" s="500"/>
      <c r="J3" s="500"/>
      <c r="K3" s="501"/>
    </row>
    <row r="4" spans="1:28" ht="12.75" customHeight="1" thickBot="1" x14ac:dyDescent="0.2">
      <c r="A4" s="502"/>
      <c r="B4" s="503"/>
      <c r="C4" s="503"/>
      <c r="D4" s="503"/>
      <c r="E4" s="503"/>
      <c r="F4" s="503"/>
      <c r="G4" s="503"/>
      <c r="H4" s="503"/>
      <c r="I4" s="503"/>
      <c r="J4" s="503"/>
      <c r="K4" s="504"/>
    </row>
    <row r="5" spans="1:28" ht="12.75" hidden="1" customHeight="1" thickTop="1" x14ac:dyDescent="0.15">
      <c r="A5" s="446" t="s">
        <v>1</v>
      </c>
      <c r="B5" s="447"/>
      <c r="C5" s="450" t="s">
        <v>3</v>
      </c>
      <c r="D5" s="451"/>
      <c r="E5" s="450" t="s">
        <v>4</v>
      </c>
      <c r="F5" s="454"/>
      <c r="G5" s="450" t="s">
        <v>56</v>
      </c>
      <c r="H5" s="451"/>
      <c r="I5" s="450" t="s">
        <v>57</v>
      </c>
      <c r="J5" s="454"/>
      <c r="K5" s="541" t="s">
        <v>58</v>
      </c>
    </row>
    <row r="6" spans="1:28" ht="12.75" hidden="1" customHeight="1" thickBot="1" x14ac:dyDescent="0.2">
      <c r="A6" s="448"/>
      <c r="B6" s="449"/>
      <c r="C6" s="452"/>
      <c r="D6" s="453"/>
      <c r="E6" s="452"/>
      <c r="F6" s="455"/>
      <c r="G6" s="458"/>
      <c r="H6" s="453"/>
      <c r="I6" s="452"/>
      <c r="J6" s="455"/>
      <c r="K6" s="542"/>
    </row>
    <row r="7" spans="1:28" ht="12.75" hidden="1" customHeight="1" x14ac:dyDescent="0.15">
      <c r="A7" s="520" t="s">
        <v>59</v>
      </c>
      <c r="B7" s="457"/>
      <c r="C7" s="417" t="s">
        <v>60</v>
      </c>
      <c r="D7" s="457"/>
      <c r="E7" s="417" t="s">
        <v>61</v>
      </c>
      <c r="F7" s="459"/>
      <c r="G7" s="428" t="s">
        <v>62</v>
      </c>
      <c r="H7" s="457"/>
      <c r="I7" s="549" t="s">
        <v>63</v>
      </c>
      <c r="J7" s="550"/>
      <c r="K7" s="424" t="s">
        <v>64</v>
      </c>
    </row>
    <row r="8" spans="1:28" ht="12.75" hidden="1" customHeight="1" thickBot="1" x14ac:dyDescent="0.2">
      <c r="A8" s="521"/>
      <c r="B8" s="453"/>
      <c r="C8" s="458"/>
      <c r="D8" s="453"/>
      <c r="E8" s="452"/>
      <c r="F8" s="455"/>
      <c r="G8" s="458"/>
      <c r="H8" s="453"/>
      <c r="I8" s="551"/>
      <c r="J8" s="552"/>
      <c r="K8" s="543"/>
    </row>
    <row r="9" spans="1:28" ht="12.75" hidden="1" customHeight="1" x14ac:dyDescent="0.15">
      <c r="A9" s="421" t="s">
        <v>65</v>
      </c>
      <c r="B9" s="418"/>
      <c r="C9" s="428" t="s">
        <v>66</v>
      </c>
      <c r="D9" s="457"/>
      <c r="E9" s="417" t="s">
        <v>67</v>
      </c>
      <c r="F9" s="459"/>
      <c r="G9" s="428" t="s">
        <v>41</v>
      </c>
      <c r="H9" s="418"/>
      <c r="I9" s="417" t="s">
        <v>68</v>
      </c>
      <c r="J9" s="418"/>
      <c r="K9" s="424" t="s">
        <v>69</v>
      </c>
    </row>
    <row r="10" spans="1:28" ht="12.75" hidden="1" customHeight="1" thickBot="1" x14ac:dyDescent="0.2">
      <c r="A10" s="456"/>
      <c r="B10" s="420"/>
      <c r="C10" s="458"/>
      <c r="D10" s="453"/>
      <c r="E10" s="452"/>
      <c r="F10" s="455"/>
      <c r="G10" s="419"/>
      <c r="H10" s="420"/>
      <c r="I10" s="419"/>
      <c r="J10" s="420"/>
      <c r="K10" s="425"/>
    </row>
    <row r="11" spans="1:28" ht="12.75" hidden="1" customHeight="1" x14ac:dyDescent="0.15">
      <c r="A11" s="421" t="s">
        <v>70</v>
      </c>
      <c r="B11" s="418"/>
      <c r="C11" s="59"/>
      <c r="D11" s="59"/>
      <c r="E11" s="1"/>
      <c r="F11" s="1"/>
      <c r="G11" s="59"/>
      <c r="H11" s="59"/>
      <c r="I11" s="59"/>
      <c r="J11" s="59"/>
      <c r="K11" s="426" t="s">
        <v>71</v>
      </c>
    </row>
    <row r="12" spans="1:28" ht="12.75" hidden="1" customHeight="1" thickBot="1" x14ac:dyDescent="0.2">
      <c r="A12" s="422"/>
      <c r="B12" s="423"/>
      <c r="C12" s="60"/>
      <c r="D12" s="60"/>
      <c r="E12" s="61"/>
      <c r="F12" s="61"/>
      <c r="G12" s="60"/>
      <c r="H12" s="60"/>
      <c r="I12" s="60"/>
      <c r="J12" s="60"/>
      <c r="K12" s="427"/>
    </row>
    <row r="13" spans="1:28" ht="12.75" customHeight="1" thickTop="1" thickBot="1" x14ac:dyDescent="0.2">
      <c r="A13" s="62"/>
      <c r="B13" s="63"/>
      <c r="C13" s="63"/>
      <c r="D13" s="63"/>
      <c r="E13" s="63"/>
      <c r="F13" s="15"/>
      <c r="G13" s="15"/>
      <c r="H13" s="15"/>
      <c r="I13" s="15"/>
      <c r="J13" s="15"/>
      <c r="K13" s="16"/>
      <c r="W13" s="546" t="s">
        <v>72</v>
      </c>
      <c r="X13" s="546"/>
      <c r="Z13" s="544" t="s">
        <v>73</v>
      </c>
      <c r="AA13" s="545"/>
      <c r="AB13" s="64" t="s">
        <v>74</v>
      </c>
    </row>
    <row r="14" spans="1:28" ht="12.75" customHeight="1" thickTop="1" thickBot="1" x14ac:dyDescent="0.2">
      <c r="A14" s="512" t="s">
        <v>75</v>
      </c>
      <c r="B14" s="513"/>
      <c r="C14" s="513"/>
      <c r="D14" s="513"/>
      <c r="E14" s="513"/>
      <c r="F14" s="514"/>
      <c r="G14" s="514"/>
      <c r="H14" s="514"/>
      <c r="I14" s="514"/>
      <c r="J14" s="514"/>
      <c r="K14" s="515"/>
      <c r="P14" s="65" t="b">
        <f>OR(I29=P16,I29=P17,I29=P18,I29=P19,I29=P20,I29=P21,I29=P22,I29=P23,I29=P24,I29=P25)</f>
        <v>1</v>
      </c>
      <c r="Q14" s="66"/>
      <c r="R14" s="66" t="s">
        <v>76</v>
      </c>
      <c r="S14" s="67" t="s">
        <v>77</v>
      </c>
      <c r="T14" s="65"/>
      <c r="U14" s="66"/>
      <c r="V14" s="66"/>
      <c r="W14" s="64" t="s">
        <v>76</v>
      </c>
      <c r="X14" s="64" t="s">
        <v>77</v>
      </c>
      <c r="Z14" s="68" t="s">
        <v>76</v>
      </c>
      <c r="AA14" s="69" t="s">
        <v>53</v>
      </c>
      <c r="AB14" s="64"/>
    </row>
    <row r="15" spans="1:28" ht="12.75" customHeight="1" thickBot="1" x14ac:dyDescent="0.2">
      <c r="A15" s="516"/>
      <c r="B15" s="517"/>
      <c r="C15" s="517"/>
      <c r="D15" s="517"/>
      <c r="E15" s="517"/>
      <c r="F15" s="518"/>
      <c r="G15" s="518"/>
      <c r="H15" s="518"/>
      <c r="I15" s="518"/>
      <c r="J15" s="518"/>
      <c r="K15" s="519"/>
      <c r="M15" t="s">
        <v>78</v>
      </c>
      <c r="P15" s="54" t="s">
        <v>79</v>
      </c>
      <c r="Q15" s="70" t="s">
        <v>74</v>
      </c>
      <c r="R15" s="70" t="s">
        <v>80</v>
      </c>
      <c r="S15" s="53" t="s">
        <v>80</v>
      </c>
      <c r="T15" s="54" t="s">
        <v>81</v>
      </c>
      <c r="U15" s="71" t="s">
        <v>74</v>
      </c>
      <c r="V15" s="71" t="s">
        <v>80</v>
      </c>
      <c r="W15" s="72" t="s">
        <v>82</v>
      </c>
      <c r="X15" s="72" t="s">
        <v>82</v>
      </c>
      <c r="Y15">
        <v>1</v>
      </c>
      <c r="Z15" s="73" t="s">
        <v>82</v>
      </c>
      <c r="AA15" s="74" t="s">
        <v>82</v>
      </c>
      <c r="AB15" s="72" t="s">
        <v>82</v>
      </c>
    </row>
    <row r="16" spans="1:28" ht="12.75" customHeight="1" thickTop="1" thickBot="1" x14ac:dyDescent="0.2">
      <c r="A16" s="75"/>
      <c r="B16" s="76"/>
      <c r="C16" s="76"/>
      <c r="D16" s="76"/>
      <c r="E16" s="76"/>
      <c r="F16" s="76"/>
      <c r="G16" s="76"/>
      <c r="H16" s="76"/>
      <c r="I16" s="76"/>
      <c r="J16" s="76"/>
      <c r="K16" s="77"/>
      <c r="M16" s="78">
        <f>1/G21</f>
        <v>1.6666666666666666E-2</v>
      </c>
      <c r="P16" s="79">
        <v>2</v>
      </c>
      <c r="Q16" s="70">
        <v>20</v>
      </c>
      <c r="R16" s="70" t="s">
        <v>82</v>
      </c>
      <c r="S16" s="80" t="s">
        <v>82</v>
      </c>
      <c r="T16" s="81">
        <v>8</v>
      </c>
      <c r="U16" s="70">
        <v>15</v>
      </c>
      <c r="V16" s="70">
        <v>0.1</v>
      </c>
      <c r="W16" s="72" t="s">
        <v>82</v>
      </c>
      <c r="X16" s="72" t="s">
        <v>82</v>
      </c>
      <c r="Y16">
        <v>2</v>
      </c>
      <c r="Z16" s="73">
        <v>0.16</v>
      </c>
      <c r="AA16" s="74">
        <v>0.16300000000000001</v>
      </c>
      <c r="AB16" s="72">
        <v>18</v>
      </c>
    </row>
    <row r="17" spans="1:28" ht="12.75" customHeight="1" thickTop="1" thickBot="1" x14ac:dyDescent="0.2">
      <c r="A17" s="505" t="s">
        <v>83</v>
      </c>
      <c r="B17" s="506"/>
      <c r="C17" s="82"/>
      <c r="D17" s="507" t="s">
        <v>84</v>
      </c>
      <c r="E17" s="508"/>
      <c r="F17" s="76"/>
      <c r="G17" s="509" t="s">
        <v>83</v>
      </c>
      <c r="H17" s="506"/>
      <c r="I17" s="83"/>
      <c r="J17" s="510" t="s">
        <v>84</v>
      </c>
      <c r="K17" s="511"/>
      <c r="M17" t="s">
        <v>85</v>
      </c>
      <c r="P17" s="79">
        <v>3</v>
      </c>
      <c r="Q17" s="70">
        <v>18</v>
      </c>
      <c r="R17" s="70">
        <v>0.26500000000000001</v>
      </c>
      <c r="S17" s="80">
        <v>0.26500000000000001</v>
      </c>
      <c r="T17" s="81">
        <v>11.5</v>
      </c>
      <c r="U17" s="70">
        <v>12</v>
      </c>
      <c r="V17" s="70">
        <v>6.9000000000000006E-2</v>
      </c>
      <c r="W17" s="72" t="s">
        <v>82</v>
      </c>
      <c r="X17" s="72" t="s">
        <v>82</v>
      </c>
      <c r="Y17">
        <v>3</v>
      </c>
      <c r="Z17" s="73">
        <v>0.112</v>
      </c>
      <c r="AA17" s="74">
        <v>0.113</v>
      </c>
      <c r="AB17" s="72">
        <v>15</v>
      </c>
    </row>
    <row r="18" spans="1:28" ht="12.75" customHeight="1" thickTop="1" thickBot="1" x14ac:dyDescent="0.2">
      <c r="A18" s="75"/>
      <c r="B18" s="76"/>
      <c r="C18" s="76"/>
      <c r="D18" s="76"/>
      <c r="E18" s="76"/>
      <c r="F18" s="76"/>
      <c r="G18" s="76"/>
      <c r="H18" s="76"/>
      <c r="I18" s="76"/>
      <c r="J18" s="76"/>
      <c r="K18" s="77"/>
      <c r="M18" s="78">
        <f>3.14159*J21</f>
        <v>1.5707949999999999</v>
      </c>
      <c r="N18" t="s">
        <v>86</v>
      </c>
      <c r="P18" s="79">
        <v>4</v>
      </c>
      <c r="Q18" s="70">
        <v>17</v>
      </c>
      <c r="R18" s="70">
        <v>0.18</v>
      </c>
      <c r="S18" s="80">
        <v>0.182</v>
      </c>
      <c r="T18" s="81">
        <v>14</v>
      </c>
      <c r="U18" s="70">
        <v>10</v>
      </c>
      <c r="V18" s="70">
        <v>5.6000000000000001E-2</v>
      </c>
      <c r="W18" s="72">
        <v>0.1578</v>
      </c>
      <c r="X18" s="72">
        <v>0.1353</v>
      </c>
      <c r="Y18">
        <v>4</v>
      </c>
      <c r="Z18" s="73">
        <v>8.5999999999999993E-2</v>
      </c>
      <c r="AA18" s="74">
        <v>8.6999999999999994E-2</v>
      </c>
      <c r="AB18" s="72">
        <v>13</v>
      </c>
    </row>
    <row r="19" spans="1:28" ht="12.75" customHeight="1" thickBot="1" x14ac:dyDescent="0.2">
      <c r="A19" s="435" t="s">
        <v>87</v>
      </c>
      <c r="B19" s="436"/>
      <c r="C19" s="84" t="s">
        <v>88</v>
      </c>
      <c r="D19" s="436" t="s">
        <v>89</v>
      </c>
      <c r="E19" s="441"/>
      <c r="F19" s="85" t="s">
        <v>90</v>
      </c>
      <c r="G19" s="475" t="s">
        <v>91</v>
      </c>
      <c r="H19" s="461"/>
      <c r="I19" s="461"/>
      <c r="J19" s="461"/>
      <c r="K19" s="476"/>
      <c r="M19" s="78">
        <f>M16/M18</f>
        <v>1.0610338501629218E-2</v>
      </c>
      <c r="N19" t="s">
        <v>14</v>
      </c>
      <c r="P19" s="79">
        <v>5</v>
      </c>
      <c r="Q19" s="70">
        <v>15</v>
      </c>
      <c r="R19" s="70">
        <v>0.13800000000000001</v>
      </c>
      <c r="S19" s="80">
        <v>0.14199999999999999</v>
      </c>
      <c r="T19" s="81">
        <v>18</v>
      </c>
      <c r="U19" s="70">
        <v>8</v>
      </c>
      <c r="V19" s="70">
        <v>4.3999999999999997E-2</v>
      </c>
      <c r="W19" s="72">
        <v>0.12620000000000001</v>
      </c>
      <c r="X19" s="72">
        <v>0.1082</v>
      </c>
      <c r="Y19">
        <v>5</v>
      </c>
      <c r="Z19" s="73">
        <v>7.0000000000000007E-2</v>
      </c>
      <c r="AA19" s="74">
        <v>7.1999999999999995E-2</v>
      </c>
      <c r="AB19" s="72">
        <v>11</v>
      </c>
    </row>
    <row r="20" spans="1:28" ht="12.75" customHeight="1" thickBot="1" x14ac:dyDescent="0.2">
      <c r="A20" s="437">
        <v>450</v>
      </c>
      <c r="B20" s="438"/>
      <c r="C20" s="88"/>
      <c r="D20" s="442">
        <f>3.82*A20/C21</f>
        <v>3438</v>
      </c>
      <c r="E20" s="443"/>
      <c r="F20" s="76"/>
      <c r="G20" s="473" t="s">
        <v>92</v>
      </c>
      <c r="H20" s="491"/>
      <c r="I20" s="89"/>
      <c r="J20" s="491" t="s">
        <v>93</v>
      </c>
      <c r="K20" s="492"/>
      <c r="M20" s="91">
        <f>ATAN(M19)</f>
        <v>1.0609940360421621E-2</v>
      </c>
      <c r="N20" t="s">
        <v>94</v>
      </c>
      <c r="P20" s="79">
        <v>6</v>
      </c>
      <c r="Q20" s="70">
        <v>13</v>
      </c>
      <c r="R20" s="70">
        <v>0.112</v>
      </c>
      <c r="S20" s="80">
        <v>0.114</v>
      </c>
      <c r="T20" s="92">
        <v>27</v>
      </c>
      <c r="U20" s="93">
        <v>6</v>
      </c>
      <c r="V20" s="93">
        <v>0.03</v>
      </c>
      <c r="W20" s="72">
        <v>0.1052</v>
      </c>
      <c r="X20" s="72">
        <v>9.0200000000000002E-2</v>
      </c>
      <c r="Y20">
        <v>6</v>
      </c>
      <c r="Z20" s="73">
        <v>0.06</v>
      </c>
      <c r="AA20" s="74">
        <v>6.2E-2</v>
      </c>
      <c r="AB20" s="72">
        <v>10</v>
      </c>
    </row>
    <row r="21" spans="1:28" ht="12.75" customHeight="1" thickBot="1" x14ac:dyDescent="0.2">
      <c r="A21" s="444" t="s">
        <v>95</v>
      </c>
      <c r="B21" s="445"/>
      <c r="C21" s="94">
        <v>0.5</v>
      </c>
      <c r="D21" s="95"/>
      <c r="E21" s="96"/>
      <c r="F21" s="76"/>
      <c r="G21" s="488">
        <v>60</v>
      </c>
      <c r="H21" s="438"/>
      <c r="I21" s="97"/>
      <c r="J21" s="488">
        <v>0.5</v>
      </c>
      <c r="K21" s="489"/>
      <c r="M21" s="78">
        <f>1/I25</f>
        <v>8.3333333333333329E-2</v>
      </c>
      <c r="N21" t="s">
        <v>96</v>
      </c>
      <c r="P21" s="79">
        <v>8</v>
      </c>
      <c r="Q21" s="70">
        <v>12</v>
      </c>
      <c r="R21" s="70">
        <v>9.5000000000000001E-2</v>
      </c>
      <c r="S21" s="80">
        <v>9.8000000000000004E-2</v>
      </c>
      <c r="T21" s="58"/>
      <c r="W21" s="72">
        <v>9.0200000000000002E-2</v>
      </c>
      <c r="X21" s="72">
        <v>7.7299999999999994E-2</v>
      </c>
      <c r="Y21">
        <v>7</v>
      </c>
      <c r="Z21" s="73" t="s">
        <v>82</v>
      </c>
      <c r="AA21" s="74" t="s">
        <v>82</v>
      </c>
      <c r="AB21" s="72" t="s">
        <v>82</v>
      </c>
    </row>
    <row r="22" spans="1:28" ht="12.75" customHeight="1" thickBot="1" x14ac:dyDescent="0.2">
      <c r="A22" s="75"/>
      <c r="B22" s="76"/>
      <c r="C22" s="76"/>
      <c r="D22" s="76"/>
      <c r="E22" s="99"/>
      <c r="F22" s="76"/>
      <c r="G22" s="100"/>
      <c r="H22" s="101"/>
      <c r="I22" s="475" t="s">
        <v>97</v>
      </c>
      <c r="J22" s="462"/>
      <c r="K22" s="102">
        <f>DEGREES(M20)</f>
        <v>0.6079048035376704</v>
      </c>
      <c r="M22" s="71"/>
      <c r="P22" s="79">
        <v>10</v>
      </c>
      <c r="Q22" s="70">
        <v>10</v>
      </c>
      <c r="R22" s="70" t="s">
        <v>82</v>
      </c>
      <c r="S22" s="80" t="s">
        <v>82</v>
      </c>
      <c r="T22" s="58"/>
      <c r="W22" s="72">
        <v>7.8899999999999998E-2</v>
      </c>
      <c r="X22" s="72">
        <v>6.7599999999999993E-2</v>
      </c>
      <c r="Y22">
        <v>8</v>
      </c>
      <c r="Z22" s="73">
        <v>4.7500000000000001E-2</v>
      </c>
      <c r="AA22" s="74">
        <v>4.9000000000000002E-2</v>
      </c>
      <c r="AB22" s="72">
        <v>9</v>
      </c>
    </row>
    <row r="23" spans="1:28" ht="12.75" customHeight="1" thickBot="1" x14ac:dyDescent="0.2">
      <c r="A23" s="435" t="s">
        <v>89</v>
      </c>
      <c r="B23" s="436"/>
      <c r="C23" s="84" t="s">
        <v>88</v>
      </c>
      <c r="D23" s="436" t="s">
        <v>98</v>
      </c>
      <c r="E23" s="441"/>
      <c r="F23" s="76"/>
      <c r="G23" s="76"/>
      <c r="H23" s="76"/>
      <c r="I23" s="76"/>
      <c r="J23" s="76"/>
      <c r="K23" s="77"/>
      <c r="M23" s="71"/>
      <c r="P23" s="79">
        <v>12</v>
      </c>
      <c r="Q23" s="70">
        <v>8</v>
      </c>
      <c r="R23" s="70">
        <v>7.3999999999999996E-2</v>
      </c>
      <c r="S23" s="80">
        <v>7.5999999999999998E-2</v>
      </c>
      <c r="T23" s="58"/>
      <c r="W23" s="72">
        <v>7.0099999999999996E-2</v>
      </c>
      <c r="X23" s="72">
        <v>6.0100000000000001E-2</v>
      </c>
      <c r="Y23">
        <v>9</v>
      </c>
      <c r="Z23" s="73" t="s">
        <v>82</v>
      </c>
      <c r="AA23" s="74" t="s">
        <v>82</v>
      </c>
      <c r="AB23" s="72" t="s">
        <v>82</v>
      </c>
    </row>
    <row r="24" spans="1:28" ht="12.75" customHeight="1" thickBot="1" x14ac:dyDescent="0.2">
      <c r="A24" s="437">
        <v>950</v>
      </c>
      <c r="B24" s="438"/>
      <c r="C24" s="97"/>
      <c r="D24" s="442">
        <f>A24*C25/3.82</f>
        <v>746.07329842931938</v>
      </c>
      <c r="E24" s="443"/>
      <c r="F24" s="76"/>
      <c r="G24" s="493" t="s">
        <v>99</v>
      </c>
      <c r="H24" s="494"/>
      <c r="I24" s="494"/>
      <c r="J24" s="494"/>
      <c r="K24" s="495"/>
      <c r="M24" s="71"/>
      <c r="P24" s="79">
        <v>14</v>
      </c>
      <c r="Q24" s="70">
        <v>7</v>
      </c>
      <c r="R24" s="70" t="s">
        <v>82</v>
      </c>
      <c r="S24" s="80" t="s">
        <v>82</v>
      </c>
      <c r="T24" s="58"/>
      <c r="W24" s="72">
        <v>6.3100000000000003E-2</v>
      </c>
      <c r="X24" s="72">
        <v>5.4100000000000002E-2</v>
      </c>
      <c r="Y24">
        <v>10</v>
      </c>
      <c r="Z24" s="73">
        <v>4.1000000000000002E-2</v>
      </c>
      <c r="AA24" s="74">
        <v>4.2500000000000003E-2</v>
      </c>
      <c r="AB24" s="72">
        <v>7</v>
      </c>
    </row>
    <row r="25" spans="1:28" ht="12.75" customHeight="1" thickBot="1" x14ac:dyDescent="0.2">
      <c r="A25" s="465" t="s">
        <v>95</v>
      </c>
      <c r="B25" s="466"/>
      <c r="C25" s="94">
        <v>3</v>
      </c>
      <c r="D25" s="95"/>
      <c r="E25" s="96"/>
      <c r="F25" s="76"/>
      <c r="G25" s="473" t="s">
        <v>100</v>
      </c>
      <c r="H25" s="474"/>
      <c r="I25" s="103">
        <v>12</v>
      </c>
      <c r="J25" s="104">
        <f>ROUNDDOWN(72*M21+2,0)</f>
        <v>8</v>
      </c>
      <c r="K25" s="90" t="s">
        <v>74</v>
      </c>
      <c r="P25" s="106">
        <v>16</v>
      </c>
      <c r="Q25" s="93">
        <v>6</v>
      </c>
      <c r="R25" s="70">
        <v>6.3E-2</v>
      </c>
      <c r="S25" s="80">
        <v>6.5000000000000002E-2</v>
      </c>
      <c r="T25" s="58"/>
      <c r="W25" s="72">
        <v>5.74E-2</v>
      </c>
      <c r="X25" s="72">
        <v>4.9200000000000001E-2</v>
      </c>
      <c r="Y25">
        <v>11</v>
      </c>
      <c r="Z25" s="73" t="s">
        <v>82</v>
      </c>
      <c r="AA25" s="74" t="s">
        <v>82</v>
      </c>
      <c r="AB25" s="72" t="s">
        <v>82</v>
      </c>
    </row>
    <row r="26" spans="1:28" ht="12.75" customHeight="1" thickBot="1" x14ac:dyDescent="0.2">
      <c r="A26" s="107"/>
      <c r="B26" s="108"/>
      <c r="C26" s="108"/>
      <c r="D26" s="108"/>
      <c r="E26" s="108"/>
      <c r="F26" s="76"/>
      <c r="G26" s="469" t="s">
        <v>101</v>
      </c>
      <c r="H26" s="490"/>
      <c r="I26" s="104">
        <f>INDEX(W15:W63,I25)</f>
        <v>5.2600000000000001E-2</v>
      </c>
      <c r="J26" s="109" t="s">
        <v>102</v>
      </c>
      <c r="K26" s="110">
        <f>INDEX(X15:X63,I25)</f>
        <v>4.5100000000000001E-2</v>
      </c>
      <c r="P26" s="111"/>
      <c r="R26" s="79" t="s">
        <v>82</v>
      </c>
      <c r="S26" s="80" t="s">
        <v>82</v>
      </c>
      <c r="W26" s="72">
        <v>5.2600000000000001E-2</v>
      </c>
      <c r="X26" s="72">
        <v>4.5100000000000001E-2</v>
      </c>
      <c r="Y26">
        <v>12</v>
      </c>
      <c r="Z26" s="73">
        <v>3.1E-2</v>
      </c>
      <c r="AA26" s="74">
        <v>3.2000000000000001E-2</v>
      </c>
      <c r="AB26" s="72">
        <v>6</v>
      </c>
    </row>
    <row r="27" spans="1:28" ht="12.75" customHeight="1" thickBot="1" x14ac:dyDescent="0.2">
      <c r="A27" s="435" t="s">
        <v>103</v>
      </c>
      <c r="B27" s="436"/>
      <c r="C27" s="84" t="s">
        <v>88</v>
      </c>
      <c r="D27" s="461" t="s">
        <v>104</v>
      </c>
      <c r="E27" s="462"/>
      <c r="F27" s="76"/>
      <c r="G27" s="112"/>
      <c r="H27" s="112"/>
      <c r="I27" s="112" t="s">
        <v>14</v>
      </c>
      <c r="J27" s="112"/>
      <c r="K27" s="113"/>
      <c r="M27" t="s">
        <v>105</v>
      </c>
      <c r="N27">
        <v>1</v>
      </c>
      <c r="O27">
        <v>2</v>
      </c>
      <c r="P27">
        <v>3</v>
      </c>
      <c r="Q27">
        <v>4</v>
      </c>
      <c r="R27" s="79">
        <v>0.05</v>
      </c>
      <c r="S27" s="80">
        <v>5.0999999999999997E-2</v>
      </c>
      <c r="W27" s="72">
        <v>4.8500000000000001E-2</v>
      </c>
      <c r="X27" s="72">
        <v>4.1599999999999998E-2</v>
      </c>
      <c r="Y27">
        <v>13</v>
      </c>
      <c r="Z27" s="73" t="s">
        <v>82</v>
      </c>
      <c r="AA27" s="74" t="s">
        <v>82</v>
      </c>
      <c r="AB27" s="72" t="s">
        <v>82</v>
      </c>
    </row>
    <row r="28" spans="1:28" ht="12.75" customHeight="1" thickBot="1" x14ac:dyDescent="0.2">
      <c r="A28" s="437">
        <v>60</v>
      </c>
      <c r="B28" s="438"/>
      <c r="C28" s="114"/>
      <c r="D28" s="439">
        <f>A28/(C29*E29)</f>
        <v>2.1428571428571429E-2</v>
      </c>
      <c r="E28" s="440"/>
      <c r="F28" s="85" t="s">
        <v>106</v>
      </c>
      <c r="G28" s="475" t="s">
        <v>107</v>
      </c>
      <c r="H28" s="479"/>
      <c r="I28" s="479"/>
      <c r="J28" s="479"/>
      <c r="K28" s="480"/>
      <c r="M28" s="115" t="s">
        <v>108</v>
      </c>
      <c r="N28" s="115" t="s">
        <v>109</v>
      </c>
      <c r="O28" s="115" t="s">
        <v>109</v>
      </c>
      <c r="P28" s="115" t="s">
        <v>109</v>
      </c>
      <c r="Q28" s="116" t="s">
        <v>110</v>
      </c>
      <c r="R28" s="79" t="s">
        <v>82</v>
      </c>
      <c r="S28" s="80" t="s">
        <v>82</v>
      </c>
      <c r="W28" s="72">
        <v>4.5100000000000001E-2</v>
      </c>
      <c r="X28" s="72">
        <v>3.8600000000000002E-2</v>
      </c>
      <c r="Y28">
        <v>14</v>
      </c>
      <c r="Z28" s="73">
        <v>2.6499999999999999E-2</v>
      </c>
      <c r="AA28" s="74">
        <v>2.75E-2</v>
      </c>
      <c r="AB28" s="72">
        <v>5</v>
      </c>
    </row>
    <row r="29" spans="1:28" ht="12.75" customHeight="1" thickBot="1" x14ac:dyDescent="0.2">
      <c r="A29" s="524" t="s">
        <v>111</v>
      </c>
      <c r="B29" s="525"/>
      <c r="C29" s="103">
        <v>4</v>
      </c>
      <c r="D29" s="117" t="s">
        <v>54</v>
      </c>
      <c r="E29" s="118">
        <v>700</v>
      </c>
      <c r="F29" s="85" t="s">
        <v>90</v>
      </c>
      <c r="G29" s="473" t="s">
        <v>100</v>
      </c>
      <c r="H29" s="474"/>
      <c r="I29" s="103">
        <v>6</v>
      </c>
      <c r="J29" s="104">
        <f ca="1">IF(P14=TRUE,LOOKUP(I29,P16:P25,Q16:Q24),"N/A")</f>
        <v>13</v>
      </c>
      <c r="K29" s="119" t="s">
        <v>74</v>
      </c>
      <c r="M29" s="115">
        <f>SQRT(K41-1)</f>
        <v>3.4641016151377544</v>
      </c>
      <c r="N29" s="120">
        <f>H43</f>
        <v>1.5020818885799802E-2</v>
      </c>
      <c r="O29" s="115">
        <f>I41/M29</f>
        <v>2.7424137786507225E-2</v>
      </c>
      <c r="P29" s="115">
        <f>IF(3&gt;G42,0,(I41/M29)*SQRT(2))</f>
        <v>3.8783587594066991E-2</v>
      </c>
      <c r="Q29" s="116">
        <f>IF(4&gt;K41,0,(I41/M29)*SQRT(3))</f>
        <v>4.7500000000000001E-2</v>
      </c>
      <c r="R29" s="79">
        <v>4.2000000000000003E-2</v>
      </c>
      <c r="S29" s="80">
        <v>4.2999999999999997E-2</v>
      </c>
      <c r="W29" s="72" t="s">
        <v>82</v>
      </c>
      <c r="X29" s="72" t="s">
        <v>82</v>
      </c>
      <c r="Y29">
        <v>15</v>
      </c>
      <c r="Z29" s="73" t="s">
        <v>82</v>
      </c>
      <c r="AA29" s="74" t="s">
        <v>82</v>
      </c>
      <c r="AB29" s="72" t="s">
        <v>82</v>
      </c>
    </row>
    <row r="30" spans="1:28" ht="12.75" customHeight="1" thickBot="1" x14ac:dyDescent="0.2">
      <c r="A30" s="75"/>
      <c r="B30" s="76"/>
      <c r="C30" s="76"/>
      <c r="D30" s="76"/>
      <c r="E30" s="76"/>
      <c r="F30" s="99"/>
      <c r="G30" s="469" t="s">
        <v>112</v>
      </c>
      <c r="H30" s="470"/>
      <c r="I30" s="121">
        <f>INDEX(R16:R31,I29)</f>
        <v>9.5000000000000001E-2</v>
      </c>
      <c r="J30" s="122" t="s">
        <v>113</v>
      </c>
      <c r="K30" s="123">
        <f>INDEX(S16:S31,I29)</f>
        <v>9.8000000000000004E-2</v>
      </c>
      <c r="M30" s="124" t="s">
        <v>114</v>
      </c>
      <c r="N30" s="115">
        <f>(IF(5&gt;K41,0,(I41/M29)*SQRT(4)))</f>
        <v>5.484827557301445E-2</v>
      </c>
      <c r="O30" s="115">
        <f>IF(6&gt;K41,0,(I41/M29)*SQRT(5))</f>
        <v>6.1322236314950776E-2</v>
      </c>
      <c r="P30" s="115">
        <f>IF(7&gt;K41,0,(I41/M29)*SQRT(6))</f>
        <v>6.7175144212722013E-2</v>
      </c>
      <c r="Q30" s="116">
        <f>IF(8&gt;K41,0,(I41/M29)*SQRT(7))</f>
        <v>7.2557448503467473E-2</v>
      </c>
      <c r="R30" s="79" t="s">
        <v>82</v>
      </c>
      <c r="S30" s="80" t="s">
        <v>82</v>
      </c>
      <c r="W30" s="72">
        <v>3.9399999999999998E-2</v>
      </c>
      <c r="X30" s="72">
        <v>3.8800000000000001E-2</v>
      </c>
      <c r="Y30">
        <v>16</v>
      </c>
      <c r="Z30" s="73">
        <v>2.4E-2</v>
      </c>
      <c r="AA30" s="74">
        <v>2.4799999999999999E-2</v>
      </c>
      <c r="AB30" s="72">
        <v>5</v>
      </c>
    </row>
    <row r="31" spans="1:28" ht="12.75" customHeight="1" thickBot="1" x14ac:dyDescent="0.2">
      <c r="A31" s="435" t="s">
        <v>104</v>
      </c>
      <c r="B31" s="436"/>
      <c r="C31" s="84" t="s">
        <v>88</v>
      </c>
      <c r="D31" s="436" t="s">
        <v>103</v>
      </c>
      <c r="E31" s="441"/>
      <c r="F31" s="76"/>
      <c r="G31" s="125"/>
      <c r="H31" s="125"/>
      <c r="I31" s="126"/>
      <c r="J31" s="125"/>
      <c r="K31" s="127"/>
      <c r="M31" t="s">
        <v>115</v>
      </c>
      <c r="N31" s="115">
        <f>IF(9&gt;K41,0,(I41/M29)*SQRT(8))</f>
        <v>7.7567175188133983E-2</v>
      </c>
      <c r="O31" s="115">
        <f>IF(10&gt;K41,0,(I41/M29)*SQRT(9))</f>
        <v>8.2272413359521679E-2</v>
      </c>
      <c r="P31" s="115">
        <f>IF(11&gt;K41,0,(I41/M29)*SQRT(10))</f>
        <v>8.6722738271651306E-2</v>
      </c>
      <c r="Q31" s="116">
        <f>IF(12&gt;K41,0,(I41/M29)*SQRT(11))</f>
        <v>9.0955575236852118E-2</v>
      </c>
      <c r="R31" s="106">
        <v>3.7999999999999999E-2</v>
      </c>
      <c r="S31" s="128">
        <v>3.9E-2</v>
      </c>
      <c r="W31" s="72" t="s">
        <v>82</v>
      </c>
      <c r="X31" s="72" t="s">
        <v>82</v>
      </c>
      <c r="Y31">
        <v>17</v>
      </c>
    </row>
    <row r="32" spans="1:28" ht="12.75" customHeight="1" thickBot="1" x14ac:dyDescent="0.2">
      <c r="A32" s="522">
        <v>4.4999999999999997E-3</v>
      </c>
      <c r="B32" s="523"/>
      <c r="C32" s="97"/>
      <c r="D32" s="477">
        <f>A32*C33*E33</f>
        <v>15.749999999999998</v>
      </c>
      <c r="E32" s="478"/>
      <c r="F32" s="129"/>
      <c r="G32" s="493" t="s">
        <v>116</v>
      </c>
      <c r="H32" s="556"/>
      <c r="I32" s="556"/>
      <c r="J32" s="556"/>
      <c r="K32" s="557"/>
      <c r="M32" t="s">
        <v>117</v>
      </c>
      <c r="N32" s="115">
        <f>IF(13&gt;K41,0,(I41/M29)*SQRT(12))</f>
        <v>9.5000000000000001E-2</v>
      </c>
      <c r="O32" s="115">
        <f>IF(14&gt;K41,0,(I41/M29)*SQRT(13))</f>
        <v>0</v>
      </c>
      <c r="P32" s="115">
        <f>IF(15&gt;K41,0,(I41/M29)*SQRT(14))</f>
        <v>0</v>
      </c>
      <c r="Q32" s="115">
        <f>IF(16&gt;K41,0,(I41/M29)*SQRT(15))</f>
        <v>0</v>
      </c>
      <c r="R32" s="70"/>
      <c r="W32" s="72">
        <v>3.5000000000000003E-2</v>
      </c>
      <c r="X32" s="72">
        <v>0.03</v>
      </c>
      <c r="Y32">
        <v>18</v>
      </c>
    </row>
    <row r="33" spans="1:25" ht="12.75" customHeight="1" thickBot="1" x14ac:dyDescent="0.2">
      <c r="A33" s="465" t="s">
        <v>111</v>
      </c>
      <c r="B33" s="466"/>
      <c r="C33" s="87">
        <v>1</v>
      </c>
      <c r="D33" s="130" t="s">
        <v>54</v>
      </c>
      <c r="E33" s="103">
        <v>3500</v>
      </c>
      <c r="F33" s="76"/>
      <c r="G33" s="538" t="s">
        <v>118</v>
      </c>
      <c r="H33" s="558"/>
      <c r="I33" s="131">
        <v>16</v>
      </c>
      <c r="J33" s="132">
        <f>INDEX(AB15:AB30,I33)</f>
        <v>5</v>
      </c>
      <c r="K33" s="133" t="s">
        <v>74</v>
      </c>
      <c r="M33" t="s">
        <v>119</v>
      </c>
      <c r="N33" s="115">
        <f>IF(17&gt;K41,0,(I41/M29)*SQRT(16))</f>
        <v>0</v>
      </c>
      <c r="O33" s="115">
        <f>IF(18&gt;K41,0,(I41/M29)*SQRT(17))</f>
        <v>0</v>
      </c>
      <c r="P33" s="115">
        <f>IF(19&gt;K41,0,(I41/M29)*SQRT(18))</f>
        <v>0</v>
      </c>
      <c r="Q33" s="115">
        <f>IF(20&gt;K41,0,(I41/M29)*SQRT(19))</f>
        <v>0</v>
      </c>
      <c r="R33" s="70"/>
      <c r="W33" s="72" t="s">
        <v>82</v>
      </c>
      <c r="X33" s="72" t="s">
        <v>82</v>
      </c>
      <c r="Y33">
        <v>19</v>
      </c>
    </row>
    <row r="34" spans="1:25" ht="12.75" customHeight="1" thickBot="1" x14ac:dyDescent="0.2">
      <c r="A34" s="107"/>
      <c r="B34" s="108"/>
      <c r="C34" s="108"/>
      <c r="D34" s="108"/>
      <c r="E34" s="108"/>
      <c r="F34" s="76"/>
      <c r="G34" s="469" t="s">
        <v>120</v>
      </c>
      <c r="H34" s="470"/>
      <c r="I34" s="134">
        <f>INDEX(Z15:Z30,I33)</f>
        <v>2.4E-2</v>
      </c>
      <c r="J34" s="135" t="s">
        <v>121</v>
      </c>
      <c r="K34" s="123">
        <f>INDEX(AA15:AA30,I33)</f>
        <v>2.4799999999999999E-2</v>
      </c>
      <c r="W34" s="72">
        <v>3.15E-2</v>
      </c>
      <c r="X34" s="72">
        <v>2.7E-2</v>
      </c>
      <c r="Y34">
        <v>20</v>
      </c>
    </row>
    <row r="35" spans="1:25" ht="12.75" customHeight="1" thickBot="1" x14ac:dyDescent="0.2">
      <c r="A35" s="467" t="s">
        <v>104</v>
      </c>
      <c r="B35" s="461"/>
      <c r="C35" s="86" t="s">
        <v>88</v>
      </c>
      <c r="D35" s="461" t="s">
        <v>122</v>
      </c>
      <c r="E35" s="462"/>
      <c r="F35" s="76"/>
      <c r="G35" s="136"/>
      <c r="H35" s="136"/>
      <c r="I35" s="136"/>
      <c r="J35" s="136"/>
      <c r="K35" s="137"/>
      <c r="W35" s="72" t="s">
        <v>82</v>
      </c>
      <c r="X35" s="72" t="s">
        <v>82</v>
      </c>
      <c r="Y35">
        <v>21</v>
      </c>
    </row>
    <row r="36" spans="1:25" ht="12.75" customHeight="1" thickBot="1" x14ac:dyDescent="0.2">
      <c r="A36" s="437">
        <v>6.0000000000000001E-3</v>
      </c>
      <c r="B36" s="438"/>
      <c r="C36" s="97"/>
      <c r="D36" s="481">
        <f>A36*C37</f>
        <v>3.6000000000000004E-2</v>
      </c>
      <c r="E36" s="482"/>
      <c r="F36" s="76"/>
      <c r="G36" s="475" t="s">
        <v>123</v>
      </c>
      <c r="H36" s="461"/>
      <c r="I36" s="479"/>
      <c r="J36" s="479"/>
      <c r="K36" s="480"/>
      <c r="W36" s="72" t="s">
        <v>82</v>
      </c>
      <c r="X36" s="72" t="s">
        <v>82</v>
      </c>
      <c r="Y36">
        <v>22</v>
      </c>
    </row>
    <row r="37" spans="1:25" ht="12.75" customHeight="1" thickBot="1" x14ac:dyDescent="0.2">
      <c r="A37" s="465" t="s">
        <v>111</v>
      </c>
      <c r="B37" s="468"/>
      <c r="C37" s="103">
        <v>6</v>
      </c>
      <c r="D37" s="471" t="s">
        <v>14</v>
      </c>
      <c r="E37" s="472"/>
      <c r="F37" s="76"/>
      <c r="G37" s="473" t="s">
        <v>100</v>
      </c>
      <c r="H37" s="474"/>
      <c r="I37" s="103">
        <v>8</v>
      </c>
      <c r="J37" s="104">
        <f>IF(I37=T16,U16,IF(I37=T17,U17,IF(I37=T18,U18,IF(I37=T19,U19,IF(I37=T20,U20,"N/A")))))</f>
        <v>15</v>
      </c>
      <c r="K37" s="138" t="s">
        <v>74</v>
      </c>
      <c r="W37" s="72" t="s">
        <v>82</v>
      </c>
      <c r="X37" s="72" t="s">
        <v>82</v>
      </c>
      <c r="Y37">
        <v>23</v>
      </c>
    </row>
    <row r="38" spans="1:25" ht="12.75" customHeight="1" thickBot="1" x14ac:dyDescent="0.2">
      <c r="A38" s="107"/>
      <c r="B38" s="108"/>
      <c r="C38" s="108"/>
      <c r="D38" s="108"/>
      <c r="E38" s="108"/>
      <c r="F38" s="76"/>
      <c r="G38" s="485" t="s">
        <v>124</v>
      </c>
      <c r="H38" s="486"/>
      <c r="I38" s="487"/>
      <c r="J38" s="121">
        <f>IF(I37=T16,V16,IF(I37=T17,V17,IF(I37=T18,V18,IF(I37=T19,V19,IF(I37=T20,V20,"N/A")))))</f>
        <v>0.1</v>
      </c>
      <c r="K38" s="139"/>
      <c r="W38" s="72">
        <v>2.63E-2</v>
      </c>
      <c r="X38" s="72">
        <v>2.2499999999999999E-2</v>
      </c>
      <c r="Y38">
        <v>24</v>
      </c>
    </row>
    <row r="39" spans="1:25" ht="12.75" customHeight="1" thickBot="1" x14ac:dyDescent="0.2">
      <c r="A39" s="467" t="s">
        <v>122</v>
      </c>
      <c r="B39" s="461"/>
      <c r="C39" s="86" t="s">
        <v>88</v>
      </c>
      <c r="D39" s="461" t="s">
        <v>104</v>
      </c>
      <c r="E39" s="462"/>
      <c r="F39" s="76"/>
      <c r="G39" s="136"/>
      <c r="H39" s="136"/>
      <c r="I39" s="136"/>
      <c r="J39" s="136"/>
      <c r="K39" s="140"/>
      <c r="W39" s="72" t="s">
        <v>82</v>
      </c>
      <c r="X39" s="72" t="s">
        <v>82</v>
      </c>
      <c r="Y39">
        <v>25</v>
      </c>
    </row>
    <row r="40" spans="1:25" ht="12.75" customHeight="1" thickBot="1" x14ac:dyDescent="0.2">
      <c r="A40" s="526">
        <v>3.5999999999999997E-2</v>
      </c>
      <c r="B40" s="527"/>
      <c r="C40" s="88"/>
      <c r="D40" s="481">
        <f>A40/C41</f>
        <v>5.9999999999999993E-3</v>
      </c>
      <c r="E40" s="482"/>
      <c r="F40" s="76"/>
      <c r="G40" s="475" t="s">
        <v>125</v>
      </c>
      <c r="H40" s="461"/>
      <c r="I40" s="461"/>
      <c r="J40" s="461"/>
      <c r="K40" s="476"/>
      <c r="W40" s="72" t="s">
        <v>82</v>
      </c>
      <c r="X40" s="72" t="s">
        <v>82</v>
      </c>
      <c r="Y40">
        <v>26</v>
      </c>
    </row>
    <row r="41" spans="1:25" ht="12.75" customHeight="1" thickBot="1" x14ac:dyDescent="0.2">
      <c r="A41" s="465" t="s">
        <v>111</v>
      </c>
      <c r="B41" s="466"/>
      <c r="C41" s="103">
        <v>6</v>
      </c>
      <c r="D41" s="95"/>
      <c r="E41" s="96"/>
      <c r="F41" s="76"/>
      <c r="G41" s="473" t="s">
        <v>126</v>
      </c>
      <c r="H41" s="474"/>
      <c r="I41" s="103">
        <v>9.5000000000000001E-2</v>
      </c>
      <c r="J41" s="141" t="s">
        <v>127</v>
      </c>
      <c r="K41" s="142">
        <v>13</v>
      </c>
      <c r="W41" s="72" t="s">
        <v>82</v>
      </c>
      <c r="X41" s="72" t="s">
        <v>82</v>
      </c>
      <c r="Y41">
        <v>27</v>
      </c>
    </row>
    <row r="42" spans="1:25" ht="12.75" customHeight="1" thickBot="1" x14ac:dyDescent="0.2">
      <c r="A42" s="107"/>
      <c r="B42" s="108"/>
      <c r="C42" s="108"/>
      <c r="D42" s="108"/>
      <c r="E42" s="108"/>
      <c r="F42" s="76"/>
      <c r="G42" s="475" t="s">
        <v>128</v>
      </c>
      <c r="H42" s="461"/>
      <c r="I42" s="461"/>
      <c r="J42" s="461"/>
      <c r="K42" s="476"/>
      <c r="W42" s="72">
        <v>2.2499999999999999E-2</v>
      </c>
      <c r="X42" s="64">
        <v>1.9300000000000001E-2</v>
      </c>
      <c r="Y42">
        <v>28</v>
      </c>
    </row>
    <row r="43" spans="1:25" ht="12.75" customHeight="1" thickBot="1" x14ac:dyDescent="0.2">
      <c r="A43" s="435" t="s">
        <v>129</v>
      </c>
      <c r="B43" s="436"/>
      <c r="C43" s="84" t="s">
        <v>88</v>
      </c>
      <c r="D43" s="436" t="s">
        <v>130</v>
      </c>
      <c r="E43" s="441"/>
      <c r="F43" s="76"/>
      <c r="G43" s="143" t="s">
        <v>131</v>
      </c>
      <c r="H43" s="144">
        <f>(I41/M29)*SQRT(0.3)</f>
        <v>1.5020818885799802E-2</v>
      </c>
      <c r="I43" s="144">
        <f>O29-H43</f>
        <v>1.2403318900707424E-2</v>
      </c>
      <c r="J43" s="144">
        <f>P29-O29</f>
        <v>1.1359449807559766E-2</v>
      </c>
      <c r="K43" s="145">
        <f>Q29-P29</f>
        <v>8.7164124059330092E-3</v>
      </c>
      <c r="W43" s="72" t="s">
        <v>82</v>
      </c>
      <c r="X43" s="72" t="s">
        <v>82</v>
      </c>
      <c r="Y43">
        <v>29</v>
      </c>
    </row>
    <row r="44" spans="1:25" ht="12.75" customHeight="1" thickBot="1" x14ac:dyDescent="0.2">
      <c r="A44" s="437">
        <v>1</v>
      </c>
      <c r="B44" s="438"/>
      <c r="C44" s="97"/>
      <c r="D44" s="483">
        <f>A44*0.745699</f>
        <v>0.745699</v>
      </c>
      <c r="E44" s="484"/>
      <c r="F44" s="76"/>
      <c r="G44" s="143" t="s">
        <v>132</v>
      </c>
      <c r="H44" s="144">
        <f>IF(N30=0,0,N30-Q29)</f>
        <v>7.3482755730144497E-3</v>
      </c>
      <c r="I44" s="144">
        <f t="shared" ref="I44:K47" si="0">IF(O30=0,0,O30-N30)</f>
        <v>6.4739607419363257E-3</v>
      </c>
      <c r="J44" s="144">
        <f t="shared" si="0"/>
        <v>5.8529078977712368E-3</v>
      </c>
      <c r="K44" s="145">
        <f t="shared" si="0"/>
        <v>5.3823042907454599E-3</v>
      </c>
      <c r="W44" s="72" t="s">
        <v>82</v>
      </c>
      <c r="X44" s="72" t="s">
        <v>82</v>
      </c>
      <c r="Y44">
        <v>30</v>
      </c>
    </row>
    <row r="45" spans="1:25" ht="12.75" customHeight="1" thickBot="1" x14ac:dyDescent="0.2">
      <c r="A45" s="107"/>
      <c r="B45" s="108"/>
      <c r="C45" s="108"/>
      <c r="D45" s="108"/>
      <c r="E45" s="108"/>
      <c r="F45" s="76"/>
      <c r="G45" s="143" t="s">
        <v>133</v>
      </c>
      <c r="H45" s="144">
        <f>IF(N31=0,0,N31-Q30)</f>
        <v>5.0097266846665101E-3</v>
      </c>
      <c r="I45" s="144">
        <f t="shared" si="0"/>
        <v>4.7052381713876962E-3</v>
      </c>
      <c r="J45" s="144">
        <f t="shared" si="0"/>
        <v>4.4503249121296273E-3</v>
      </c>
      <c r="K45" s="145">
        <f t="shared" si="0"/>
        <v>4.2328369652008119E-3</v>
      </c>
      <c r="W45" s="72" t="s">
        <v>82</v>
      </c>
      <c r="X45" s="72" t="s">
        <v>82</v>
      </c>
      <c r="Y45">
        <v>31</v>
      </c>
    </row>
    <row r="46" spans="1:25" ht="12.75" customHeight="1" thickBot="1" x14ac:dyDescent="0.2">
      <c r="A46" s="435" t="s">
        <v>130</v>
      </c>
      <c r="B46" s="436"/>
      <c r="C46" s="84" t="s">
        <v>88</v>
      </c>
      <c r="D46" s="436" t="s">
        <v>134</v>
      </c>
      <c r="E46" s="441"/>
      <c r="F46" s="76"/>
      <c r="G46" s="143" t="s">
        <v>135</v>
      </c>
      <c r="H46" s="144">
        <f>IF(N32=0,0,N32-Q31)</f>
        <v>4.044424763147883E-3</v>
      </c>
      <c r="I46" s="144">
        <f t="shared" si="0"/>
        <v>0</v>
      </c>
      <c r="J46" s="144">
        <f t="shared" si="0"/>
        <v>0</v>
      </c>
      <c r="K46" s="145">
        <f t="shared" si="0"/>
        <v>0</v>
      </c>
      <c r="W46" s="72">
        <v>1.9699999999999999E-2</v>
      </c>
      <c r="X46" s="64">
        <v>1.6899999999999998E-2</v>
      </c>
      <c r="Y46">
        <v>32</v>
      </c>
    </row>
    <row r="47" spans="1:25" ht="12.75" customHeight="1" thickBot="1" x14ac:dyDescent="0.2">
      <c r="A47" s="528">
        <v>8.11</v>
      </c>
      <c r="B47" s="529"/>
      <c r="C47" s="97"/>
      <c r="D47" s="477">
        <f>A47/0.745699</f>
        <v>10.87570185825648</v>
      </c>
      <c r="E47" s="478"/>
      <c r="F47" s="76"/>
      <c r="G47" s="130" t="s">
        <v>136</v>
      </c>
      <c r="H47" s="144">
        <f>IF(N33=0,0,N33-Q32)</f>
        <v>0</v>
      </c>
      <c r="I47" s="144">
        <f t="shared" si="0"/>
        <v>0</v>
      </c>
      <c r="J47" s="144">
        <f t="shared" si="0"/>
        <v>0</v>
      </c>
      <c r="K47" s="145">
        <f t="shared" si="0"/>
        <v>0</v>
      </c>
      <c r="W47" s="72" t="s">
        <v>82</v>
      </c>
      <c r="X47" s="72" t="s">
        <v>82</v>
      </c>
      <c r="Y47">
        <v>33</v>
      </c>
    </row>
    <row r="48" spans="1:25" ht="12.75" customHeight="1" thickBot="1" x14ac:dyDescent="0.2">
      <c r="A48" s="107"/>
      <c r="B48" s="108"/>
      <c r="C48" s="108"/>
      <c r="D48" s="108"/>
      <c r="E48" s="108"/>
      <c r="F48" s="76"/>
      <c r="G48" s="76"/>
      <c r="H48" s="76"/>
      <c r="I48" s="76"/>
      <c r="J48" s="76"/>
      <c r="K48" s="77"/>
      <c r="W48" s="72" t="s">
        <v>82</v>
      </c>
      <c r="X48" s="72" t="s">
        <v>82</v>
      </c>
      <c r="Y48">
        <v>34</v>
      </c>
    </row>
    <row r="49" spans="1:25" ht="12.75" customHeight="1" thickBot="1" x14ac:dyDescent="0.2">
      <c r="A49" s="435" t="s">
        <v>137</v>
      </c>
      <c r="B49" s="436"/>
      <c r="C49" s="84" t="s">
        <v>88</v>
      </c>
      <c r="D49" s="436" t="s">
        <v>138</v>
      </c>
      <c r="E49" s="441"/>
      <c r="F49" s="76"/>
      <c r="G49" s="475" t="s">
        <v>139</v>
      </c>
      <c r="H49" s="461"/>
      <c r="I49" s="461"/>
      <c r="J49" s="461"/>
      <c r="K49" s="476"/>
      <c r="W49" s="72" t="s">
        <v>82</v>
      </c>
      <c r="X49" s="72" t="s">
        <v>82</v>
      </c>
      <c r="Y49">
        <v>35</v>
      </c>
    </row>
    <row r="50" spans="1:25" ht="12.75" customHeight="1" thickBot="1" x14ac:dyDescent="0.2">
      <c r="A50" s="437">
        <v>1</v>
      </c>
      <c r="B50" s="438"/>
      <c r="C50" s="97"/>
      <c r="D50" s="481">
        <f>A50*0.3048</f>
        <v>0.30480000000000002</v>
      </c>
      <c r="E50" s="482"/>
      <c r="F50" s="76"/>
      <c r="G50" s="475" t="s">
        <v>140</v>
      </c>
      <c r="H50" s="461"/>
      <c r="I50" s="146">
        <v>3.2000000000000001E-2</v>
      </c>
      <c r="J50" s="130" t="s">
        <v>122</v>
      </c>
      <c r="K50" s="147">
        <v>0.01</v>
      </c>
      <c r="W50" s="72">
        <v>1.7500000000000002E-2</v>
      </c>
      <c r="X50" s="64">
        <v>1.4999999999999999E-2</v>
      </c>
      <c r="Y50">
        <v>36</v>
      </c>
    </row>
    <row r="51" spans="1:25" ht="12.75" customHeight="1" thickBot="1" x14ac:dyDescent="0.2">
      <c r="A51" s="75"/>
      <c r="B51" s="76"/>
      <c r="C51" s="76"/>
      <c r="D51" s="76"/>
      <c r="E51" s="108"/>
      <c r="F51" s="76"/>
      <c r="G51" s="475" t="s">
        <v>141</v>
      </c>
      <c r="H51" s="461"/>
      <c r="I51" s="461"/>
      <c r="J51" s="461"/>
      <c r="K51" s="148">
        <f>(K50*K50)/(I50*8)*317500</f>
        <v>124.0234375</v>
      </c>
      <c r="T51" s="149" t="s">
        <v>142</v>
      </c>
      <c r="U51" t="s">
        <v>14</v>
      </c>
      <c r="V51" t="s">
        <v>14</v>
      </c>
      <c r="W51" s="72" t="s">
        <v>82</v>
      </c>
      <c r="X51" s="72" t="s">
        <v>82</v>
      </c>
      <c r="Y51">
        <v>37</v>
      </c>
    </row>
    <row r="52" spans="1:25" ht="12.75" customHeight="1" thickBot="1" x14ac:dyDescent="0.2">
      <c r="A52" s="435" t="s">
        <v>143</v>
      </c>
      <c r="B52" s="436"/>
      <c r="C52" s="84" t="s">
        <v>88</v>
      </c>
      <c r="D52" s="436" t="s">
        <v>137</v>
      </c>
      <c r="E52" s="441"/>
      <c r="F52" s="76"/>
      <c r="G52" s="108"/>
      <c r="H52" s="108"/>
      <c r="I52" s="108"/>
      <c r="J52" s="108"/>
      <c r="K52" s="150"/>
      <c r="U52" s="540" t="s">
        <v>144</v>
      </c>
      <c r="V52" s="540"/>
      <c r="W52" s="72" t="s">
        <v>82</v>
      </c>
      <c r="X52" s="72" t="s">
        <v>82</v>
      </c>
      <c r="Y52">
        <v>38</v>
      </c>
    </row>
    <row r="53" spans="1:25" ht="12.75" customHeight="1" thickBot="1" x14ac:dyDescent="0.2">
      <c r="A53" s="437">
        <v>200</v>
      </c>
      <c r="B53" s="438"/>
      <c r="C53" s="97"/>
      <c r="D53" s="439">
        <f>A53/0.3048</f>
        <v>656.16797900262463</v>
      </c>
      <c r="E53" s="440"/>
      <c r="F53" s="76"/>
      <c r="G53" s="475" t="s">
        <v>145</v>
      </c>
      <c r="H53" s="461"/>
      <c r="I53" s="461"/>
      <c r="J53" s="462"/>
      <c r="K53" s="98">
        <v>16</v>
      </c>
      <c r="U53">
        <f>ASIN(((K67*2)-I67)/I67)</f>
        <v>0</v>
      </c>
      <c r="V53">
        <f>DEGREES(U53)</f>
        <v>0</v>
      </c>
      <c r="W53" s="72" t="s">
        <v>82</v>
      </c>
      <c r="X53" s="72" t="s">
        <v>82</v>
      </c>
      <c r="Y53">
        <v>39</v>
      </c>
    </row>
    <row r="54" spans="1:25" ht="12.75" customHeight="1" thickBot="1" x14ac:dyDescent="0.2">
      <c r="A54" s="75"/>
      <c r="B54" s="76"/>
      <c r="C54" s="76"/>
      <c r="D54" s="76"/>
      <c r="E54" s="108"/>
      <c r="F54" s="151" t="s">
        <v>146</v>
      </c>
      <c r="G54" s="475" t="s">
        <v>140</v>
      </c>
      <c r="H54" s="462"/>
      <c r="I54" s="146">
        <v>1.6E-2</v>
      </c>
      <c r="J54" s="130" t="s">
        <v>122</v>
      </c>
      <c r="K54" s="152">
        <f>SQRT(((I54*8)*K53)/317500)</f>
        <v>2.5397625284241439E-3</v>
      </c>
      <c r="U54" s="540" t="s">
        <v>144</v>
      </c>
      <c r="V54" s="540"/>
      <c r="W54" s="72">
        <v>1.5699999999999999E-2</v>
      </c>
      <c r="X54" s="64">
        <v>1.35E-2</v>
      </c>
      <c r="Y54">
        <v>40</v>
      </c>
    </row>
    <row r="55" spans="1:25" ht="12.75" customHeight="1" thickBot="1" x14ac:dyDescent="0.2">
      <c r="A55" s="435" t="s">
        <v>147</v>
      </c>
      <c r="B55" s="436"/>
      <c r="C55" s="84" t="s">
        <v>88</v>
      </c>
      <c r="D55" s="436" t="s">
        <v>138</v>
      </c>
      <c r="E55" s="441"/>
      <c r="F55" s="153" t="s">
        <v>148</v>
      </c>
      <c r="G55" s="108"/>
      <c r="H55" s="108"/>
      <c r="I55" s="108"/>
      <c r="J55" s="108"/>
      <c r="K55" s="150"/>
      <c r="U55">
        <f>ASIN((I67-2*K67)/I67)</f>
        <v>0</v>
      </c>
      <c r="V55" s="154">
        <f>DEGREES(U55)</f>
        <v>0</v>
      </c>
      <c r="W55" s="72" t="s">
        <v>82</v>
      </c>
      <c r="X55" s="72" t="s">
        <v>82</v>
      </c>
      <c r="Y55">
        <v>41</v>
      </c>
    </row>
    <row r="56" spans="1:25" ht="12.75" customHeight="1" thickBot="1" x14ac:dyDescent="0.2">
      <c r="A56" s="437">
        <v>1</v>
      </c>
      <c r="B56" s="438"/>
      <c r="C56" s="88"/>
      <c r="D56" s="481">
        <f>A56*0.0254</f>
        <v>2.5399999999999999E-2</v>
      </c>
      <c r="E56" s="482"/>
      <c r="F56" s="76"/>
      <c r="G56" s="475" t="s">
        <v>145</v>
      </c>
      <c r="H56" s="461"/>
      <c r="I56" s="461"/>
      <c r="J56" s="461"/>
      <c r="K56" s="142">
        <v>32</v>
      </c>
      <c r="W56" s="72" t="s">
        <v>82</v>
      </c>
      <c r="X56" s="72" t="s">
        <v>82</v>
      </c>
      <c r="Y56">
        <v>42</v>
      </c>
    </row>
    <row r="57" spans="1:25" ht="12.75" customHeight="1" thickBot="1" x14ac:dyDescent="0.2">
      <c r="A57" s="75"/>
      <c r="B57" s="76"/>
      <c r="C57" s="76"/>
      <c r="D57" s="76"/>
      <c r="E57" s="108"/>
      <c r="F57" s="76"/>
      <c r="G57" s="475" t="s">
        <v>140</v>
      </c>
      <c r="H57" s="462"/>
      <c r="I57" s="155">
        <f>((K57*K57)*317500)/(8*K56)</f>
        <v>3.1005859375E-2</v>
      </c>
      <c r="J57" s="130" t="s">
        <v>122</v>
      </c>
      <c r="K57" s="147">
        <v>5.0000000000000001E-3</v>
      </c>
      <c r="W57" s="72"/>
      <c r="X57" s="72"/>
    </row>
    <row r="58" spans="1:25" ht="12.75" customHeight="1" thickBot="1" x14ac:dyDescent="0.2">
      <c r="A58" s="435" t="s">
        <v>138</v>
      </c>
      <c r="B58" s="436"/>
      <c r="C58" s="84" t="s">
        <v>88</v>
      </c>
      <c r="D58" s="436" t="s">
        <v>147</v>
      </c>
      <c r="E58" s="441"/>
      <c r="F58" s="76"/>
      <c r="G58" s="561" t="s">
        <v>149</v>
      </c>
      <c r="H58" s="562"/>
      <c r="I58" s="562"/>
      <c r="J58" s="562"/>
      <c r="K58" s="563"/>
      <c r="W58" s="72" t="s">
        <v>82</v>
      </c>
      <c r="X58" s="72" t="s">
        <v>82</v>
      </c>
      <c r="Y58">
        <v>43</v>
      </c>
    </row>
    <row r="59" spans="1:25" ht="12.75" customHeight="1" thickBot="1" x14ac:dyDescent="0.2">
      <c r="A59" s="437">
        <v>1</v>
      </c>
      <c r="B59" s="438"/>
      <c r="C59" s="88"/>
      <c r="D59" s="439">
        <f>A59/0.0254</f>
        <v>39.370078740157481</v>
      </c>
      <c r="E59" s="440"/>
      <c r="F59" s="76"/>
      <c r="G59" s="564"/>
      <c r="H59" s="565"/>
      <c r="I59" s="565"/>
      <c r="J59" s="565"/>
      <c r="K59" s="566"/>
      <c r="W59" s="72">
        <v>1.43E-2</v>
      </c>
      <c r="X59" s="64">
        <v>1.23E-2</v>
      </c>
      <c r="Y59">
        <v>44</v>
      </c>
    </row>
    <row r="60" spans="1:25" ht="12.75" customHeight="1" thickBot="1" x14ac:dyDescent="0.2">
      <c r="A60" s="75"/>
      <c r="B60" s="76"/>
      <c r="C60" s="76"/>
      <c r="D60" s="76"/>
      <c r="E60" s="108"/>
      <c r="F60" s="76"/>
      <c r="G60" s="567"/>
      <c r="H60" s="568"/>
      <c r="I60" s="568"/>
      <c r="J60" s="568"/>
      <c r="K60" s="569"/>
      <c r="W60" s="72" t="s">
        <v>82</v>
      </c>
      <c r="X60" s="72" t="s">
        <v>82</v>
      </c>
      <c r="Y60">
        <v>45</v>
      </c>
    </row>
    <row r="61" spans="1:25" ht="12.75" customHeight="1" thickBot="1" x14ac:dyDescent="0.2">
      <c r="A61" s="435" t="s">
        <v>150</v>
      </c>
      <c r="B61" s="436"/>
      <c r="C61" s="84" t="s">
        <v>88</v>
      </c>
      <c r="D61" s="436" t="s">
        <v>151</v>
      </c>
      <c r="E61" s="530"/>
      <c r="F61" s="76"/>
      <c r="G61" s="156"/>
      <c r="H61" s="156"/>
      <c r="I61" s="156"/>
      <c r="J61" s="156"/>
      <c r="K61" s="157"/>
      <c r="W61" s="72" t="s">
        <v>82</v>
      </c>
      <c r="X61" s="72" t="s">
        <v>82</v>
      </c>
      <c r="Y61">
        <v>46</v>
      </c>
    </row>
    <row r="62" spans="1:25" ht="12.75" customHeight="1" thickBot="1" x14ac:dyDescent="0.2">
      <c r="A62" s="437">
        <v>440</v>
      </c>
      <c r="B62" s="438"/>
      <c r="C62" s="88"/>
      <c r="D62" s="531">
        <f>IF(A62&gt;478,(A62+401)/17.515,IF(A62&gt;370,(A62+79.6)/11.158,IF(A62&gt;284,(A62-27.6)/8.57,IF(A62&gt;223,(A62-104.7)/5.97))))</f>
        <v>46.56748521240366</v>
      </c>
      <c r="E62" s="532"/>
      <c r="F62" s="76"/>
      <c r="G62" s="570" t="s">
        <v>152</v>
      </c>
      <c r="H62" s="571"/>
      <c r="I62" s="571"/>
      <c r="J62" s="571"/>
      <c r="K62" s="572"/>
      <c r="W62" s="72" t="s">
        <v>82</v>
      </c>
      <c r="X62" s="72" t="s">
        <v>82</v>
      </c>
      <c r="Y62">
        <v>47</v>
      </c>
    </row>
    <row r="63" spans="1:25" ht="12.75" customHeight="1" thickBot="1" x14ac:dyDescent="0.2">
      <c r="A63" s="75"/>
      <c r="B63" s="76"/>
      <c r="C63" s="76"/>
      <c r="D63" s="76"/>
      <c r="E63" s="108"/>
      <c r="F63" s="76"/>
      <c r="G63" s="493" t="s">
        <v>153</v>
      </c>
      <c r="H63" s="494"/>
      <c r="I63" s="494"/>
      <c r="J63" s="494"/>
      <c r="K63" s="495"/>
      <c r="W63" s="72">
        <v>1.3100000000000001E-2</v>
      </c>
      <c r="X63" s="64">
        <v>1.12E-2</v>
      </c>
      <c r="Y63">
        <v>48</v>
      </c>
    </row>
    <row r="64" spans="1:25" ht="12.75" customHeight="1" thickBot="1" x14ac:dyDescent="0.2">
      <c r="A64" s="435" t="s">
        <v>151</v>
      </c>
      <c r="B64" s="436"/>
      <c r="C64" s="84" t="s">
        <v>88</v>
      </c>
      <c r="D64" s="436" t="s">
        <v>150</v>
      </c>
      <c r="E64" s="441"/>
      <c r="F64" s="76"/>
      <c r="G64" s="485" t="s">
        <v>154</v>
      </c>
      <c r="H64" s="487"/>
      <c r="I64" s="158">
        <v>5.5E-2</v>
      </c>
      <c r="J64" s="159" t="s">
        <v>155</v>
      </c>
      <c r="K64" s="160">
        <f>ROUNDUP(15/I64,0)</f>
        <v>273</v>
      </c>
      <c r="W64" s="111"/>
    </row>
    <row r="65" spans="1:11" ht="12.75" customHeight="1" thickBot="1" x14ac:dyDescent="0.2">
      <c r="A65" s="437">
        <v>32</v>
      </c>
      <c r="B65" s="438"/>
      <c r="C65" s="88"/>
      <c r="D65" s="531">
        <f>IF(A65&gt;50,(A65*17.515)-401,IF(A65&gt;40,(A65*11.158)-79.6,IF(A65&gt;30,(A65*8.57)+27.6,IF(A65&gt;19,(A65*5.97)+104.7,0))))</f>
        <v>301.84000000000003</v>
      </c>
      <c r="E65" s="532"/>
      <c r="F65" s="161" t="s">
        <v>14</v>
      </c>
      <c r="G65" s="162" t="s">
        <v>14</v>
      </c>
      <c r="H65" s="163"/>
      <c r="I65" s="162" t="s">
        <v>14</v>
      </c>
      <c r="J65" s="162" t="s">
        <v>14</v>
      </c>
      <c r="K65" s="164" t="s">
        <v>14</v>
      </c>
    </row>
    <row r="66" spans="1:11" ht="12.75" customHeight="1" thickBot="1" x14ac:dyDescent="0.2">
      <c r="A66" s="75"/>
      <c r="B66" s="76"/>
      <c r="C66" s="76"/>
      <c r="D66" s="76"/>
      <c r="E66" s="76"/>
      <c r="F66" s="76"/>
      <c r="G66" s="533" t="s">
        <v>156</v>
      </c>
      <c r="H66" s="559"/>
      <c r="I66" s="559"/>
      <c r="J66" s="559"/>
      <c r="K66" s="560"/>
    </row>
    <row r="67" spans="1:11" ht="12.75" customHeight="1" thickBot="1" x14ac:dyDescent="0.2">
      <c r="A67" s="431" t="s">
        <v>248</v>
      </c>
      <c r="B67" s="432"/>
      <c r="C67" s="218" t="s">
        <v>88</v>
      </c>
      <c r="D67" s="433" t="s">
        <v>249</v>
      </c>
      <c r="E67" s="434"/>
      <c r="F67" s="76"/>
      <c r="G67" s="538" t="s">
        <v>33</v>
      </c>
      <c r="H67" s="539"/>
      <c r="I67" s="158">
        <v>1</v>
      </c>
      <c r="J67" s="135" t="s">
        <v>157</v>
      </c>
      <c r="K67" s="165">
        <v>0.5</v>
      </c>
    </row>
    <row r="68" spans="1:11" ht="12.75" customHeight="1" thickBot="1" x14ac:dyDescent="0.2">
      <c r="A68" s="463">
        <v>0</v>
      </c>
      <c r="B68" s="464"/>
      <c r="C68" s="219"/>
      <c r="D68" s="429">
        <f>((A68-32)*5)/9</f>
        <v>-17.777777777777779</v>
      </c>
      <c r="E68" s="430"/>
      <c r="F68" s="76"/>
      <c r="G68" s="485" t="s">
        <v>154</v>
      </c>
      <c r="H68" s="487"/>
      <c r="I68" s="158">
        <v>1</v>
      </c>
      <c r="J68" s="135" t="s">
        <v>158</v>
      </c>
      <c r="K68" s="168">
        <f>IF(K67&gt;=(I67/2),((90+V53)/360)*I68,((90-V55)/360)*I68)</f>
        <v>0.25</v>
      </c>
    </row>
    <row r="69" spans="1:11" ht="12.75" customHeight="1" thickBot="1" x14ac:dyDescent="0.2">
      <c r="A69" s="166"/>
      <c r="B69" s="167"/>
      <c r="C69" s="167"/>
      <c r="D69" s="167"/>
      <c r="E69" s="167"/>
      <c r="F69" s="76"/>
      <c r="G69" s="125"/>
      <c r="H69" s="169"/>
      <c r="I69" s="125"/>
      <c r="J69" s="125"/>
      <c r="K69" s="170"/>
    </row>
    <row r="70" spans="1:11" ht="12.75" customHeight="1" thickBot="1" x14ac:dyDescent="0.2">
      <c r="A70" s="409" t="s">
        <v>249</v>
      </c>
      <c r="B70" s="410"/>
      <c r="C70" s="220" t="s">
        <v>88</v>
      </c>
      <c r="D70" s="411" t="s">
        <v>248</v>
      </c>
      <c r="E70" s="412"/>
      <c r="F70" s="76"/>
      <c r="G70" s="533" t="s">
        <v>159</v>
      </c>
      <c r="H70" s="534"/>
      <c r="I70" s="534"/>
      <c r="J70" s="534"/>
      <c r="K70" s="535"/>
    </row>
    <row r="71" spans="1:11" ht="12.75" customHeight="1" thickBot="1" x14ac:dyDescent="0.2">
      <c r="A71" s="413">
        <v>0</v>
      </c>
      <c r="B71" s="414"/>
      <c r="C71" s="219"/>
      <c r="D71" s="415">
        <f>((A71*9)/5)+32</f>
        <v>32</v>
      </c>
      <c r="E71" s="416"/>
      <c r="F71" s="99"/>
      <c r="G71" s="171">
        <f xml:space="preserve"> G73*1.15</f>
        <v>957.94999999999993</v>
      </c>
      <c r="H71" s="536" t="s">
        <v>160</v>
      </c>
      <c r="I71" s="537"/>
      <c r="J71" s="105">
        <v>5</v>
      </c>
      <c r="K71" s="172" t="s">
        <v>161</v>
      </c>
    </row>
    <row r="72" spans="1:11" ht="12.75" customHeight="1" thickBot="1" x14ac:dyDescent="0.2">
      <c r="A72" s="166"/>
      <c r="B72" s="167"/>
      <c r="C72" s="167"/>
      <c r="D72" s="167"/>
      <c r="E72" s="167"/>
      <c r="F72" s="167"/>
      <c r="G72" s="173">
        <f>G73*1.1</f>
        <v>916.30000000000007</v>
      </c>
      <c r="H72" s="536" t="s">
        <v>160</v>
      </c>
      <c r="I72" s="537"/>
      <c r="J72" s="174">
        <v>10</v>
      </c>
      <c r="K72" s="172" t="s">
        <v>161</v>
      </c>
    </row>
    <row r="73" spans="1:11" ht="12.75" customHeight="1" thickBot="1" x14ac:dyDescent="0.2">
      <c r="A73" s="166"/>
      <c r="B73" s="167"/>
      <c r="C73" s="167"/>
      <c r="D73" s="167"/>
      <c r="E73" s="167"/>
      <c r="F73" s="167"/>
      <c r="G73" s="175">
        <v>833</v>
      </c>
      <c r="H73" s="547" t="s">
        <v>160</v>
      </c>
      <c r="I73" s="548"/>
      <c r="J73" s="176">
        <v>15</v>
      </c>
      <c r="K73" s="177" t="s">
        <v>161</v>
      </c>
    </row>
    <row r="74" spans="1:11" ht="12.75" customHeight="1" thickBot="1" x14ac:dyDescent="0.2">
      <c r="A74" s="166"/>
      <c r="B74" s="167"/>
      <c r="C74" s="167"/>
      <c r="D74" s="167"/>
      <c r="E74" s="167"/>
      <c r="F74" s="167"/>
      <c r="G74" s="173">
        <f>G73*0.95</f>
        <v>791.34999999999991</v>
      </c>
      <c r="H74" s="536" t="s">
        <v>160</v>
      </c>
      <c r="I74" s="537"/>
      <c r="J74" s="174">
        <v>20</v>
      </c>
      <c r="K74" s="172" t="s">
        <v>161</v>
      </c>
    </row>
    <row r="75" spans="1:11" ht="12.75" customHeight="1" thickBot="1" x14ac:dyDescent="0.2">
      <c r="A75" s="166"/>
      <c r="B75" s="167"/>
      <c r="C75" s="167"/>
      <c r="D75" s="167"/>
      <c r="E75" s="167"/>
      <c r="F75" s="167"/>
      <c r="G75" s="173">
        <f>G73*0.9</f>
        <v>749.7</v>
      </c>
      <c r="H75" s="536" t="s">
        <v>160</v>
      </c>
      <c r="I75" s="537"/>
      <c r="J75" s="174">
        <v>25</v>
      </c>
      <c r="K75" s="172" t="s">
        <v>161</v>
      </c>
    </row>
    <row r="76" spans="1:11" ht="13.5" thickBot="1" x14ac:dyDescent="0.2">
      <c r="A76" s="166"/>
      <c r="B76" s="167"/>
      <c r="C76" s="167"/>
      <c r="D76" s="167"/>
      <c r="E76" s="167"/>
      <c r="F76" s="178"/>
      <c r="G76" s="173">
        <f>G73*0.87</f>
        <v>724.71</v>
      </c>
      <c r="H76" s="536" t="s">
        <v>160</v>
      </c>
      <c r="I76" s="537"/>
      <c r="J76" s="174">
        <v>30</v>
      </c>
      <c r="K76" s="172" t="s">
        <v>161</v>
      </c>
    </row>
    <row r="77" spans="1:11" ht="13.5" thickBot="1" x14ac:dyDescent="0.2">
      <c r="A77" s="166"/>
      <c r="B77" s="167"/>
      <c r="C77" s="167"/>
      <c r="D77" s="167"/>
      <c r="E77" s="167"/>
      <c r="F77" s="167"/>
      <c r="G77" s="173">
        <f>G73*0.8</f>
        <v>666.40000000000009</v>
      </c>
      <c r="H77" s="536" t="s">
        <v>160</v>
      </c>
      <c r="I77" s="537"/>
      <c r="J77" s="174">
        <v>45</v>
      </c>
      <c r="K77" s="172" t="s">
        <v>161</v>
      </c>
    </row>
    <row r="78" spans="1:11" ht="13.5" thickBot="1" x14ac:dyDescent="0.2">
      <c r="A78" s="166"/>
      <c r="B78" s="167"/>
      <c r="C78" s="167"/>
      <c r="D78" s="167"/>
      <c r="E78" s="167"/>
      <c r="F78" s="167"/>
      <c r="G78" s="173">
        <f>G73*0.75</f>
        <v>624.75</v>
      </c>
      <c r="H78" s="536" t="s">
        <v>160</v>
      </c>
      <c r="I78" s="537"/>
      <c r="J78" s="174">
        <v>60</v>
      </c>
      <c r="K78" s="172" t="s">
        <v>161</v>
      </c>
    </row>
    <row r="79" spans="1:11" ht="13.5" thickBot="1" x14ac:dyDescent="0.2">
      <c r="A79" s="460"/>
      <c r="B79" s="460"/>
      <c r="C79" s="460"/>
      <c r="D79" s="460"/>
      <c r="E79" s="460"/>
      <c r="F79" s="179" t="s">
        <v>106</v>
      </c>
      <c r="G79" s="553" t="s">
        <v>162</v>
      </c>
      <c r="H79" s="554"/>
      <c r="I79" s="554"/>
      <c r="J79" s="554"/>
      <c r="K79" s="555"/>
    </row>
    <row r="80" spans="1:11" ht="15" thickTop="1" x14ac:dyDescent="0.15">
      <c r="A80" s="180"/>
      <c r="B80" s="180"/>
      <c r="C80" s="180"/>
      <c r="D80" s="180"/>
      <c r="E80" s="180"/>
      <c r="F80" s="180"/>
      <c r="G80" s="181"/>
      <c r="H80" s="181"/>
      <c r="I80" s="181"/>
      <c r="J80" s="181"/>
      <c r="K80" s="181"/>
    </row>
    <row r="81" spans="7:11" x14ac:dyDescent="0.15">
      <c r="G81" s="71"/>
      <c r="H81" s="71"/>
      <c r="I81" s="71"/>
      <c r="J81" s="71"/>
      <c r="K81" s="71"/>
    </row>
  </sheetData>
  <sheetProtection sheet="1" objects="1" scenarios="1"/>
  <mergeCells count="147">
    <mergeCell ref="G79:K79"/>
    <mergeCell ref="G32:K32"/>
    <mergeCell ref="G33:H33"/>
    <mergeCell ref="G34:H34"/>
    <mergeCell ref="H76:I76"/>
    <mergeCell ref="G66:K66"/>
    <mergeCell ref="G58:K60"/>
    <mergeCell ref="G64:H64"/>
    <mergeCell ref="G62:K62"/>
    <mergeCell ref="Z13:AA13"/>
    <mergeCell ref="W13:X13"/>
    <mergeCell ref="H77:I77"/>
    <mergeCell ref="H78:I78"/>
    <mergeCell ref="H72:I72"/>
    <mergeCell ref="H73:I73"/>
    <mergeCell ref="H74:I74"/>
    <mergeCell ref="H75:I75"/>
    <mergeCell ref="I7:J8"/>
    <mergeCell ref="G63:K63"/>
    <mergeCell ref="G70:K70"/>
    <mergeCell ref="H71:I71"/>
    <mergeCell ref="G67:H67"/>
    <mergeCell ref="G68:H68"/>
    <mergeCell ref="U52:V52"/>
    <mergeCell ref="U54:V54"/>
    <mergeCell ref="G57:H57"/>
    <mergeCell ref="K5:K6"/>
    <mergeCell ref="K7:K8"/>
    <mergeCell ref="D61:E61"/>
    <mergeCell ref="D53:E53"/>
    <mergeCell ref="A53:B53"/>
    <mergeCell ref="A49:B49"/>
    <mergeCell ref="D49:E49"/>
    <mergeCell ref="D50:E50"/>
    <mergeCell ref="A50:B50"/>
    <mergeCell ref="A52:B52"/>
    <mergeCell ref="D65:E65"/>
    <mergeCell ref="D59:E59"/>
    <mergeCell ref="A65:B65"/>
    <mergeCell ref="A62:B62"/>
    <mergeCell ref="D62:E62"/>
    <mergeCell ref="A64:B64"/>
    <mergeCell ref="D64:E64"/>
    <mergeCell ref="A59:B59"/>
    <mergeCell ref="A61:B61"/>
    <mergeCell ref="A58:B58"/>
    <mergeCell ref="D58:E58"/>
    <mergeCell ref="A55:B55"/>
    <mergeCell ref="D55:E55"/>
    <mergeCell ref="D56:E56"/>
    <mergeCell ref="A56:B56"/>
    <mergeCell ref="A32:B32"/>
    <mergeCell ref="A31:B31"/>
    <mergeCell ref="A29:B29"/>
    <mergeCell ref="A41:B41"/>
    <mergeCell ref="A43:B43"/>
    <mergeCell ref="A40:B40"/>
    <mergeCell ref="D52:E52"/>
    <mergeCell ref="A44:B44"/>
    <mergeCell ref="A46:B46"/>
    <mergeCell ref="D46:E46"/>
    <mergeCell ref="D47:E47"/>
    <mergeCell ref="A47:B47"/>
    <mergeCell ref="A1:K4"/>
    <mergeCell ref="A17:B17"/>
    <mergeCell ref="D17:E17"/>
    <mergeCell ref="G17:H17"/>
    <mergeCell ref="J17:K17"/>
    <mergeCell ref="A14:K15"/>
    <mergeCell ref="G5:H6"/>
    <mergeCell ref="I5:J6"/>
    <mergeCell ref="A7:B8"/>
    <mergeCell ref="G7:H8"/>
    <mergeCell ref="G19:K19"/>
    <mergeCell ref="I22:J22"/>
    <mergeCell ref="J21:K21"/>
    <mergeCell ref="G26:H26"/>
    <mergeCell ref="G21:H21"/>
    <mergeCell ref="G20:H20"/>
    <mergeCell ref="J20:K20"/>
    <mergeCell ref="G25:H25"/>
    <mergeCell ref="G24:K24"/>
    <mergeCell ref="G28:K28"/>
    <mergeCell ref="D35:E35"/>
    <mergeCell ref="G56:J56"/>
    <mergeCell ref="G51:J51"/>
    <mergeCell ref="G53:J53"/>
    <mergeCell ref="G54:H54"/>
    <mergeCell ref="D43:E43"/>
    <mergeCell ref="D40:E40"/>
    <mergeCell ref="D39:E39"/>
    <mergeCell ref="G29:H29"/>
    <mergeCell ref="G50:H50"/>
    <mergeCell ref="G37:H37"/>
    <mergeCell ref="D36:E36"/>
    <mergeCell ref="G36:K36"/>
    <mergeCell ref="G49:K49"/>
    <mergeCell ref="D44:E44"/>
    <mergeCell ref="G38:I38"/>
    <mergeCell ref="A5:B6"/>
    <mergeCell ref="C5:D6"/>
    <mergeCell ref="E5:F6"/>
    <mergeCell ref="A9:B10"/>
    <mergeCell ref="C9:D10"/>
    <mergeCell ref="E9:F10"/>
    <mergeCell ref="E7:F8"/>
    <mergeCell ref="C7:D8"/>
    <mergeCell ref="A79:E79"/>
    <mergeCell ref="A36:B36"/>
    <mergeCell ref="A24:B24"/>
    <mergeCell ref="D24:E24"/>
    <mergeCell ref="A27:B27"/>
    <mergeCell ref="D27:E27"/>
    <mergeCell ref="A68:B68"/>
    <mergeCell ref="A25:B25"/>
    <mergeCell ref="A39:B39"/>
    <mergeCell ref="A37:B37"/>
    <mergeCell ref="D37:E37"/>
    <mergeCell ref="D32:E32"/>
    <mergeCell ref="D31:E31"/>
    <mergeCell ref="A23:B23"/>
    <mergeCell ref="A33:B33"/>
    <mergeCell ref="A35:B35"/>
    <mergeCell ref="A70:B70"/>
    <mergeCell ref="D70:E70"/>
    <mergeCell ref="A71:B71"/>
    <mergeCell ref="D71:E71"/>
    <mergeCell ref="I9:J10"/>
    <mergeCell ref="A11:B12"/>
    <mergeCell ref="K9:K10"/>
    <mergeCell ref="K11:K12"/>
    <mergeCell ref="G9:H10"/>
    <mergeCell ref="D68:E68"/>
    <mergeCell ref="A67:B67"/>
    <mergeCell ref="D67:E67"/>
    <mergeCell ref="A19:B19"/>
    <mergeCell ref="A28:B28"/>
    <mergeCell ref="D28:E28"/>
    <mergeCell ref="D19:E19"/>
    <mergeCell ref="D20:E20"/>
    <mergeCell ref="D23:E23"/>
    <mergeCell ref="A20:B20"/>
    <mergeCell ref="A21:B21"/>
    <mergeCell ref="G30:H30"/>
    <mergeCell ref="G41:H41"/>
    <mergeCell ref="G42:K42"/>
    <mergeCell ref="G40:K40"/>
  </mergeCells>
  <phoneticPr fontId="29" type="noConversion"/>
  <dataValidations xWindow="487" yWindow="345" count="6">
    <dataValidation allowBlank="1" showInputMessage="1" showErrorMessage="1" promptTitle="INPUT DATA" prompt="Enter the diameter of the thread in inches." sqref="J21:K21" xr:uid="{00000000-0002-0000-0500-000000000000}"/>
    <dataValidation type="whole" allowBlank="1" showInputMessage="1" showErrorMessage="1" errorTitle="INPUT ERROR" error="Values below 20 and above 60 in Rockwell C are beyond the normal range to convert to a Brinell hardness number." sqref="A65:B65" xr:uid="{00000000-0002-0000-0500-000001000000}">
      <formula1>20</formula1>
      <formula2>60</formula2>
    </dataValidation>
    <dataValidation type="whole" allowBlank="1" showInputMessage="1" showErrorMessage="1" errorTitle="INPUT ERROR" error="Brinell hardness numbers above 615 are not normally used.  Brinell numbers below 228 convert to HRC numbers that are not normally used." sqref="A62:B62" xr:uid="{00000000-0002-0000-0500-000002000000}">
      <formula1>223</formula1>
      <formula2>651</formula2>
    </dataValidation>
    <dataValidation allowBlank="1" showInputMessage="1" showErrorMessage="1" promptTitle="CALCULATION RESULTS / INPUT" prompt="ENTER ONLY TOOL CUTTING TIME.  The #of Parts that will be achieved based on 15 minute of cutting time." sqref="I64" xr:uid="{00000000-0002-0000-0500-000003000000}"/>
    <dataValidation type="decimal" allowBlank="1" showInputMessage="1" showErrorMessage="1" errorTitle="INPUT ERROR" error="The WOC must be greater than &quot;0&quot; and less than or equal to the tool diameter." sqref="K67" xr:uid="{00000000-0002-0000-0500-000004000000}">
      <formula1>0.00000001</formula1>
      <formula2>I67</formula2>
    </dataValidation>
    <dataValidation allowBlank="1" showInputMessage="1" showErrorMessage="1" promptTitle="INPUT DATA" prompt="Enter the cutting speed that gives a tool life of 15 minutes.  The approximate cutting speed to obtain a shorter or longer tool life is calculated." sqref="G73" xr:uid="{00000000-0002-0000-0500-000005000000}"/>
  </dataValidations>
  <hyperlinks>
    <hyperlink ref="T51" location="'MILL INDEXABLE vs INDEXABLE'!q174" display="'MILL INDEXABLE vs INDEXABLE'!q174" xr:uid="{00000000-0004-0000-0500-000000000000}"/>
    <hyperlink ref="A5:B6" r:id="rId1" location="'CONTENTS PAGE'!A1" display="Contents Page" xr:uid="{00000000-0004-0000-0500-000001000000}"/>
    <hyperlink ref="C5:D6" r:id="rId2" location="'MATERIALS PAGE'!A1" display="Materials Page" xr:uid="{00000000-0004-0000-0500-000002000000}"/>
    <hyperlink ref="E5:F6" location="'MILL INDEXABLE vs INDEXABLE'!A1" display="'MILL INDEXABLE vs INDEXABLE'!A1" xr:uid="{00000000-0004-0000-0500-000003000000}"/>
    <hyperlink ref="G5:H6" location="'DRILL INDEXABLE vs INDEXABLE'!A1" display="'DRILL INDEXABLE vs INDEXABLE'!A1" xr:uid="{00000000-0004-0000-0500-000004000000}"/>
    <hyperlink ref="I5:J6" location="'MILLING INDEXABLE vs SOLID TOOL'!A1" display="'MILLING INDEXABLE vs SOLID TOOL'!A1" xr:uid="{00000000-0004-0000-0500-000005000000}"/>
    <hyperlink ref="A7:B8" location="'DRILLING INDEXABLE vs SOLID '!A1" display="'DRILLING INDEXABLE vs SOLID '!A1" xr:uid="{00000000-0004-0000-0500-000006000000}"/>
    <hyperlink ref="C7:D8" location="'MILLING SOLID vs. SOLID TOOL'!A1" display="'MILLING SOLID vs. SOLID TOOL'!A1" xr:uid="{00000000-0004-0000-0500-000007000000}"/>
    <hyperlink ref="E7:F8" location="'DRILLING SOLID vs SOLID TOOLS'!A1" display="'DRILLING SOLID vs SOLID TOOLS'!A1" xr:uid="{00000000-0004-0000-0500-000008000000}"/>
    <hyperlink ref="K7:K8" r:id="rId3" location="'DRILL POWER CALCULATOR (2)'!A1" display="Drilling Power" xr:uid="{00000000-0004-0000-0500-000009000000}"/>
    <hyperlink ref="G7:H8" r:id="rId4" location="'ROUND INSERT TOOLS'!A1" display="Round Insert Milling Calculations " xr:uid="{00000000-0004-0000-0500-00000A000000}"/>
    <hyperlink ref="F79" location="'CALCULATIONS PAGE'!A1" display="To Top" xr:uid="{00000000-0004-0000-0500-00000B000000}"/>
    <hyperlink ref="F55" location="'CALCULATIONS PAGE'!F75" display="Down " xr:uid="{00000000-0004-0000-0500-00000C000000}"/>
    <hyperlink ref="F54" location="'CALCULATIONS PAGE'!F25" display="Up" xr:uid="{00000000-0004-0000-0500-00000D000000}"/>
    <hyperlink ref="F29" location="'CALCULATIONS PAGE'!F50" display="Down" xr:uid="{00000000-0004-0000-0500-00000E000000}"/>
    <hyperlink ref="A9:B10" r:id="rId5" location="'RADIAL CHIP THINNING CALCULATOR'!A1" display="Milling Chip Thinning Calculator" xr:uid="{00000000-0004-0000-0500-00000F000000}"/>
    <hyperlink ref="C9:D10" r:id="rId6" location="'PARTING &amp; GROOVING QUICK CALC.'!A1" display="Parting &amp; Grooving Quick Calculator" xr:uid="{00000000-0004-0000-0500-000010000000}"/>
    <hyperlink ref="E9:F10" location="'GTO TOOLS QUICK CALCULATOR'!A1" display="GTO Tooling Quick Calculator" xr:uid="{00000000-0004-0000-0500-000011000000}"/>
    <hyperlink ref="F28" location="'CALCULATIONS PAGE'!A1" display="To Top" xr:uid="{00000000-0004-0000-0500-000012000000}"/>
    <hyperlink ref="F19" location="'CALCULATIONS PAGE'!F52" display="Down" xr:uid="{00000000-0004-0000-0500-000013000000}"/>
    <hyperlink ref="G9:H10" location="'TURN SURFACE FINISHES'!A1" display="Turning Surface Finishes" xr:uid="{00000000-0004-0000-0500-000014000000}"/>
    <hyperlink ref="I9:J10" r:id="rId7" location="'PART OFF INDEXABLE vs INDEXABLE'!A1" display="Parting Indexable vs. Indexable Tooling" xr:uid="{00000000-0004-0000-0500-000015000000}"/>
    <hyperlink ref="A11:B12" r:id="rId8" location="'PART OFF SOLID VS INDEXABLE'!A1" display="Parting Indexable vs. Solid Tooling" xr:uid="{00000000-0004-0000-0500-000016000000}"/>
    <hyperlink ref="I7:J8" r:id="rId9" location="'TURNING ISO vs ISO INSERTS '!A1" display="Turning ISO vs. ISO Tooling" xr:uid="{00000000-0004-0000-0500-000017000000}"/>
    <hyperlink ref="K9:K10" r:id="rId10" location="'TURNING POWER CALCULATIONS'!A1" display="Turning Power" xr:uid="{00000000-0004-0000-0500-000018000000}"/>
    <hyperlink ref="K5:K6" r:id="rId11" location="'MILL POWER CALCULATOR (2)'!A1" display="Milling Power " xr:uid="{00000000-0004-0000-0500-000019000000}"/>
    <hyperlink ref="K11:K12" r:id="rId12" location="'PARTING &amp; GROOVING POWER CALCUL'!A1" display="Part/Groove Power" xr:uid="{00000000-0004-0000-0500-00001A000000}"/>
  </hyperlinks>
  <printOptions horizontalCentered="1" verticalCentered="1"/>
  <pageMargins left="0" right="0" top="0" bottom="0" header="0" footer="0"/>
  <pageSetup scale="77" orientation="portrait" r:id="rId1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pageSetUpPr fitToPage="1"/>
  </sheetPr>
  <dimension ref="A1:L70"/>
  <sheetViews>
    <sheetView showGridLines="0" showRowColHeaders="0" showOutlineSymbols="0" topLeftCell="A16" workbookViewId="0">
      <selection activeCell="H30" sqref="H30"/>
    </sheetView>
  </sheetViews>
  <sheetFormatPr defaultRowHeight="12.75" x14ac:dyDescent="0.15"/>
  <cols>
    <col min="3" max="3" width="11.4609375" bestFit="1" customWidth="1"/>
    <col min="7" max="7" width="9.84375" bestFit="1" customWidth="1"/>
    <col min="11" max="11" width="9.84375" bestFit="1" customWidth="1"/>
  </cols>
  <sheetData>
    <row r="1" spans="1:12" ht="13.5" thickTop="1" x14ac:dyDescent="0.15">
      <c r="A1" s="610" t="s">
        <v>41</v>
      </c>
      <c r="B1" s="611"/>
      <c r="C1" s="611"/>
      <c r="D1" s="611"/>
      <c r="E1" s="611"/>
      <c r="F1" s="611"/>
      <c r="G1" s="611"/>
      <c r="H1" s="611"/>
      <c r="I1" s="611"/>
      <c r="J1" s="611"/>
      <c r="K1" s="611"/>
      <c r="L1" s="612"/>
    </row>
    <row r="2" spans="1:12" x14ac:dyDescent="0.15">
      <c r="A2" s="613"/>
      <c r="B2" s="614"/>
      <c r="C2" s="614"/>
      <c r="D2" s="614"/>
      <c r="E2" s="614"/>
      <c r="F2" s="614"/>
      <c r="G2" s="614"/>
      <c r="H2" s="614"/>
      <c r="I2" s="614"/>
      <c r="J2" s="614"/>
      <c r="K2" s="614"/>
      <c r="L2" s="615"/>
    </row>
    <row r="3" spans="1:12" ht="13.5" thickBot="1" x14ac:dyDescent="0.2">
      <c r="A3" s="616"/>
      <c r="B3" s="617"/>
      <c r="C3" s="617"/>
      <c r="D3" s="617"/>
      <c r="E3" s="617"/>
      <c r="F3" s="617"/>
      <c r="G3" s="617"/>
      <c r="H3" s="617"/>
      <c r="I3" s="617"/>
      <c r="J3" s="617"/>
      <c r="K3" s="617"/>
      <c r="L3" s="618"/>
    </row>
    <row r="4" spans="1:12" ht="14.25" hidden="1" thickTop="1" thickBot="1" x14ac:dyDescent="0.2">
      <c r="A4" s="619"/>
      <c r="B4" s="620"/>
      <c r="C4" s="620"/>
      <c r="D4" s="620"/>
      <c r="E4" s="620"/>
      <c r="F4" s="620"/>
      <c r="G4" s="620"/>
      <c r="H4" s="620"/>
      <c r="I4" s="620"/>
      <c r="J4" s="620"/>
      <c r="K4" s="620"/>
      <c r="L4" s="621"/>
    </row>
    <row r="5" spans="1:12" ht="13.5" hidden="1" thickTop="1" x14ac:dyDescent="0.15">
      <c r="A5" s="622"/>
      <c r="B5" s="623"/>
      <c r="C5" s="626"/>
      <c r="D5" s="627"/>
      <c r="E5" s="630"/>
      <c r="F5" s="631"/>
      <c r="G5" s="589"/>
      <c r="H5" s="590"/>
      <c r="I5" s="589"/>
      <c r="J5" s="593"/>
      <c r="K5" s="595"/>
      <c r="L5" s="596"/>
    </row>
    <row r="6" spans="1:12" ht="13.5" hidden="1" thickBot="1" x14ac:dyDescent="0.2">
      <c r="A6" s="624"/>
      <c r="B6" s="625"/>
      <c r="C6" s="628"/>
      <c r="D6" s="629"/>
      <c r="E6" s="632"/>
      <c r="F6" s="633"/>
      <c r="G6" s="591"/>
      <c r="H6" s="592"/>
      <c r="I6" s="594"/>
      <c r="J6" s="423"/>
      <c r="K6" s="597"/>
      <c r="L6" s="598"/>
    </row>
    <row r="7" spans="1:12" ht="13.5" hidden="1" thickTop="1" x14ac:dyDescent="0.15">
      <c r="A7" s="46"/>
      <c r="B7" s="47"/>
      <c r="C7" s="47"/>
      <c r="D7" s="47"/>
      <c r="E7" s="47"/>
      <c r="F7" s="47"/>
      <c r="G7" s="47"/>
      <c r="H7" s="47"/>
      <c r="I7" s="47"/>
      <c r="J7" s="47"/>
      <c r="K7" s="47"/>
      <c r="L7" s="48"/>
    </row>
    <row r="8" spans="1:12" ht="13.5" thickTop="1" x14ac:dyDescent="0.15">
      <c r="A8" s="46"/>
      <c r="B8" s="47"/>
      <c r="C8" s="47"/>
      <c r="D8" s="47"/>
      <c r="E8" s="47"/>
      <c r="F8" s="47"/>
      <c r="G8" s="47"/>
      <c r="H8" s="47"/>
      <c r="I8" s="47"/>
      <c r="J8" s="47"/>
      <c r="K8" s="47"/>
      <c r="L8" s="48"/>
    </row>
    <row r="9" spans="1:12" x14ac:dyDescent="0.15">
      <c r="A9" s="46"/>
      <c r="B9" s="47"/>
      <c r="C9" s="599" t="s">
        <v>42</v>
      </c>
      <c r="D9" s="600"/>
      <c r="E9" s="600"/>
      <c r="F9" s="600"/>
      <c r="G9" s="600"/>
      <c r="H9" s="600"/>
      <c r="I9" s="600"/>
      <c r="J9" s="601"/>
      <c r="K9" s="47"/>
      <c r="L9" s="48"/>
    </row>
    <row r="10" spans="1:12" x14ac:dyDescent="0.15">
      <c r="A10" s="46"/>
      <c r="B10" s="47"/>
      <c r="C10" s="602"/>
      <c r="D10" s="397"/>
      <c r="E10" s="397"/>
      <c r="F10" s="397"/>
      <c r="G10" s="397"/>
      <c r="H10" s="397"/>
      <c r="I10" s="397"/>
      <c r="J10" s="603"/>
      <c r="K10" s="47"/>
      <c r="L10" s="48"/>
    </row>
    <row r="11" spans="1:12" x14ac:dyDescent="0.15">
      <c r="A11" s="46"/>
      <c r="B11" s="47"/>
      <c r="C11" s="47"/>
      <c r="D11" s="47"/>
      <c r="E11" s="47"/>
      <c r="F11" s="47"/>
      <c r="G11" s="47"/>
      <c r="H11" s="47"/>
      <c r="I11" s="47"/>
      <c r="J11" s="47"/>
      <c r="K11" s="47"/>
      <c r="L11" s="48"/>
    </row>
    <row r="12" spans="1:12" x14ac:dyDescent="0.15">
      <c r="A12" s="604" t="s">
        <v>43</v>
      </c>
      <c r="B12" s="605"/>
      <c r="C12" s="605"/>
      <c r="D12" s="605"/>
      <c r="E12" s="605"/>
      <c r="F12" s="605"/>
      <c r="G12" s="605"/>
      <c r="H12" s="605"/>
      <c r="I12" s="605"/>
      <c r="J12" s="605"/>
      <c r="K12" s="605"/>
      <c r="L12" s="606"/>
    </row>
    <row r="13" spans="1:12" x14ac:dyDescent="0.15">
      <c r="A13" s="49"/>
      <c r="B13" s="50"/>
      <c r="C13" s="50"/>
      <c r="D13" s="50"/>
      <c r="E13" s="50"/>
      <c r="F13" s="50"/>
      <c r="G13" s="50"/>
      <c r="H13" s="50"/>
      <c r="I13" s="50"/>
      <c r="J13" s="50"/>
      <c r="K13" s="50"/>
      <c r="L13" s="51"/>
    </row>
    <row r="14" spans="1:12" x14ac:dyDescent="0.15">
      <c r="A14" s="604" t="s">
        <v>44</v>
      </c>
      <c r="B14" s="605"/>
      <c r="C14" s="605"/>
      <c r="D14" s="605"/>
      <c r="E14" s="605"/>
      <c r="F14" s="605"/>
      <c r="G14" s="605"/>
      <c r="H14" s="605"/>
      <c r="I14" s="605"/>
      <c r="J14" s="605"/>
      <c r="K14" s="605"/>
      <c r="L14" s="606"/>
    </row>
    <row r="15" spans="1:12" ht="13.5" thickBot="1" x14ac:dyDescent="0.2">
      <c r="A15" s="46"/>
      <c r="B15" s="47"/>
      <c r="C15" s="47"/>
      <c r="D15" s="47"/>
      <c r="E15" s="47"/>
      <c r="F15" s="47"/>
      <c r="G15" s="47"/>
      <c r="H15" s="47"/>
      <c r="I15" s="47"/>
      <c r="J15" s="47"/>
      <c r="K15" s="47"/>
      <c r="L15" s="48"/>
    </row>
    <row r="16" spans="1:12" ht="14.25" thickTop="1" thickBot="1" x14ac:dyDescent="0.2">
      <c r="A16" s="194"/>
      <c r="B16" s="195"/>
      <c r="C16" s="195"/>
      <c r="D16" s="195"/>
      <c r="E16" s="195"/>
      <c r="F16" s="195"/>
      <c r="G16" s="195"/>
      <c r="H16" s="195"/>
      <c r="I16" s="195"/>
      <c r="J16" s="195"/>
      <c r="K16" s="195"/>
      <c r="L16" s="196"/>
    </row>
    <row r="17" spans="1:12" ht="13.5" thickTop="1" x14ac:dyDescent="0.15">
      <c r="A17" s="46"/>
      <c r="B17" s="47"/>
      <c r="C17" s="47"/>
      <c r="D17" s="47"/>
      <c r="E17" s="47"/>
      <c r="F17" s="47"/>
      <c r="G17" s="47"/>
      <c r="H17" s="47"/>
      <c r="I17" s="47"/>
      <c r="J17" s="47"/>
      <c r="K17" s="47"/>
      <c r="L17" s="48"/>
    </row>
    <row r="18" spans="1:12" ht="18" customHeight="1" x14ac:dyDescent="0.15">
      <c r="A18" s="46"/>
      <c r="B18" s="47"/>
      <c r="C18" s="47"/>
      <c r="D18" s="607" t="s">
        <v>45</v>
      </c>
      <c r="E18" s="608"/>
      <c r="F18" s="608"/>
      <c r="G18" s="608"/>
      <c r="H18" s="608"/>
      <c r="I18" s="609"/>
      <c r="J18" s="47"/>
      <c r="K18" s="47"/>
      <c r="L18" s="48"/>
    </row>
    <row r="19" spans="1:12" ht="18" x14ac:dyDescent="0.15">
      <c r="A19" s="46"/>
      <c r="B19" s="47"/>
      <c r="C19" s="47"/>
      <c r="D19" s="52"/>
      <c r="E19" s="52"/>
      <c r="F19" s="52"/>
      <c r="G19" s="52"/>
      <c r="H19" s="52"/>
      <c r="I19" s="52"/>
      <c r="J19" s="47"/>
      <c r="K19" s="47"/>
      <c r="L19" s="48"/>
    </row>
    <row r="20" spans="1:12" ht="13.5" thickBot="1" x14ac:dyDescent="0.2">
      <c r="A20" s="46"/>
      <c r="B20" s="47"/>
      <c r="C20" s="47"/>
      <c r="D20" s="47"/>
      <c r="E20" s="47"/>
      <c r="F20" s="47"/>
      <c r="G20" s="47"/>
      <c r="H20" s="47"/>
      <c r="I20" s="47"/>
      <c r="J20" s="47"/>
      <c r="K20" s="47"/>
      <c r="L20" s="48"/>
    </row>
    <row r="21" spans="1:12" ht="12.75" customHeight="1" x14ac:dyDescent="0.15">
      <c r="A21" s="575" t="s">
        <v>46</v>
      </c>
      <c r="B21" s="580"/>
      <c r="C21" s="581">
        <v>1.4999999999999999E-2</v>
      </c>
      <c r="D21" s="583" t="s">
        <v>47</v>
      </c>
      <c r="E21" s="584"/>
      <c r="F21" s="585"/>
      <c r="G21" s="581">
        <v>3.5000000000000001E-3</v>
      </c>
      <c r="H21" s="47"/>
      <c r="I21" s="577" t="s">
        <v>48</v>
      </c>
      <c r="J21" s="576"/>
      <c r="K21" s="587">
        <f>(G21*G21)/(C21*8)*317500</f>
        <v>32.411458333333343</v>
      </c>
      <c r="L21" s="48"/>
    </row>
    <row r="22" spans="1:12" ht="13.5" customHeight="1" thickBot="1" x14ac:dyDescent="0.2">
      <c r="A22" s="267"/>
      <c r="B22" s="580"/>
      <c r="C22" s="582"/>
      <c r="D22" s="586"/>
      <c r="E22" s="584"/>
      <c r="F22" s="585"/>
      <c r="G22" s="582"/>
      <c r="H22" s="47"/>
      <c r="I22" s="577"/>
      <c r="J22" s="576"/>
      <c r="K22" s="588"/>
      <c r="L22" s="48"/>
    </row>
    <row r="23" spans="1:12" ht="13.5" thickBot="1" x14ac:dyDescent="0.2">
      <c r="A23" s="46"/>
      <c r="B23" s="47"/>
      <c r="C23" s="47"/>
      <c r="D23" s="47"/>
      <c r="E23" s="47"/>
      <c r="F23" s="47"/>
      <c r="G23" s="47"/>
      <c r="H23" s="47"/>
      <c r="I23" s="47"/>
      <c r="J23" s="47"/>
      <c r="K23" s="47"/>
      <c r="L23" s="48"/>
    </row>
    <row r="24" spans="1:12" ht="14.25" thickTop="1" thickBot="1" x14ac:dyDescent="0.2">
      <c r="A24" s="194"/>
      <c r="B24" s="195"/>
      <c r="C24" s="195"/>
      <c r="D24" s="195"/>
      <c r="E24" s="195"/>
      <c r="F24" s="195"/>
      <c r="G24" s="195"/>
      <c r="H24" s="195"/>
      <c r="I24" s="195"/>
      <c r="J24" s="195"/>
      <c r="K24" s="195"/>
      <c r="L24" s="196"/>
    </row>
    <row r="25" spans="1:12" ht="13.5" thickTop="1" x14ac:dyDescent="0.15">
      <c r="A25" s="46"/>
      <c r="B25" s="47"/>
      <c r="C25" s="47"/>
      <c r="D25" s="47"/>
      <c r="E25" s="47"/>
      <c r="F25" s="47"/>
      <c r="G25" s="47"/>
      <c r="H25" s="47"/>
      <c r="I25" s="47"/>
      <c r="J25" s="47"/>
      <c r="K25" s="47"/>
      <c r="L25" s="48"/>
    </row>
    <row r="26" spans="1:12" ht="18" customHeight="1" x14ac:dyDescent="0.15">
      <c r="A26" s="46"/>
      <c r="B26" s="47"/>
      <c r="C26" s="47"/>
      <c r="D26" s="638" t="s">
        <v>49</v>
      </c>
      <c r="E26" s="639"/>
      <c r="F26" s="639"/>
      <c r="G26" s="639"/>
      <c r="H26" s="639"/>
      <c r="I26" s="640"/>
      <c r="J26" s="47"/>
      <c r="K26" s="47"/>
      <c r="L26" s="48"/>
    </row>
    <row r="27" spans="1:12" x14ac:dyDescent="0.15">
      <c r="A27" s="46"/>
      <c r="B27" s="47"/>
      <c r="C27" s="47"/>
      <c r="D27" s="47"/>
      <c r="E27" s="47"/>
      <c r="F27" s="47"/>
      <c r="G27" s="47"/>
      <c r="H27" s="47"/>
      <c r="I27" s="47"/>
      <c r="J27" s="47"/>
      <c r="K27" s="47"/>
      <c r="L27" s="48"/>
    </row>
    <row r="28" spans="1:12" ht="13.5" thickBot="1" x14ac:dyDescent="0.2">
      <c r="A28" s="46"/>
      <c r="B28" s="47"/>
      <c r="C28" s="47"/>
      <c r="D28" s="47"/>
      <c r="E28" s="47"/>
      <c r="F28" s="47"/>
      <c r="G28" s="47"/>
      <c r="H28" s="47"/>
      <c r="I28" s="47"/>
      <c r="J28" s="47"/>
      <c r="K28" s="47"/>
      <c r="L28" s="48"/>
    </row>
    <row r="29" spans="1:12" x14ac:dyDescent="0.15">
      <c r="A29" s="575" t="s">
        <v>50</v>
      </c>
      <c r="B29" s="576"/>
      <c r="C29" s="636">
        <v>32</v>
      </c>
      <c r="D29" s="47"/>
      <c r="E29" s="577" t="s">
        <v>46</v>
      </c>
      <c r="F29" s="576"/>
      <c r="G29" s="581">
        <v>3.2000000000000001E-2</v>
      </c>
      <c r="H29" s="47"/>
      <c r="I29" s="577" t="s">
        <v>51</v>
      </c>
      <c r="J29" s="576"/>
      <c r="K29" s="634">
        <f>SQRT(((G29*8)*C29)/300000)</f>
        <v>5.225578117937447E-3</v>
      </c>
      <c r="L29" s="48"/>
    </row>
    <row r="30" spans="1:12" ht="13.5" thickBot="1" x14ac:dyDescent="0.2">
      <c r="A30" s="575"/>
      <c r="B30" s="576"/>
      <c r="C30" s="637"/>
      <c r="D30" s="47"/>
      <c r="E30" s="577"/>
      <c r="F30" s="576"/>
      <c r="G30" s="582"/>
      <c r="H30" s="47"/>
      <c r="I30" s="577"/>
      <c r="J30" s="576"/>
      <c r="K30" s="635"/>
      <c r="L30" s="48"/>
    </row>
    <row r="31" spans="1:12" ht="13.5" thickBot="1" x14ac:dyDescent="0.2">
      <c r="A31" s="46"/>
      <c r="B31" s="47"/>
      <c r="C31" s="47"/>
      <c r="D31" s="47"/>
      <c r="E31" s="47"/>
      <c r="F31" s="47"/>
      <c r="G31" s="47"/>
      <c r="H31" s="47"/>
      <c r="I31" s="47"/>
      <c r="J31" s="47"/>
      <c r="K31" s="47"/>
      <c r="L31" s="48"/>
    </row>
    <row r="32" spans="1:12" ht="14.25" thickTop="1" thickBot="1" x14ac:dyDescent="0.2">
      <c r="A32" s="578"/>
      <c r="B32" s="579"/>
      <c r="C32" s="195"/>
      <c r="D32" s="195"/>
      <c r="E32" s="195"/>
      <c r="F32" s="195"/>
      <c r="G32" s="195"/>
      <c r="H32" s="195"/>
      <c r="I32" s="195"/>
      <c r="J32" s="195"/>
      <c r="K32" s="195"/>
      <c r="L32" s="196"/>
    </row>
    <row r="33" spans="1:12" ht="13.5" thickTop="1" x14ac:dyDescent="0.15">
      <c r="A33" s="46"/>
      <c r="B33" s="47"/>
      <c r="C33" s="47"/>
      <c r="D33" s="47"/>
      <c r="E33" s="47"/>
      <c r="F33" s="47"/>
      <c r="G33" s="47"/>
      <c r="H33" s="47"/>
      <c r="I33" s="47"/>
      <c r="J33" s="47"/>
      <c r="K33" s="47"/>
      <c r="L33" s="48"/>
    </row>
    <row r="34" spans="1:12" ht="13.5" thickBot="1" x14ac:dyDescent="0.2">
      <c r="A34" s="55"/>
      <c r="B34" s="56"/>
      <c r="C34" s="56"/>
      <c r="D34" s="56"/>
      <c r="E34" s="56"/>
      <c r="F34" s="573" t="s">
        <v>52</v>
      </c>
      <c r="G34" s="574"/>
      <c r="H34" s="56"/>
      <c r="I34" s="56"/>
      <c r="J34" s="56"/>
      <c r="K34" s="56"/>
      <c r="L34" s="57"/>
    </row>
    <row r="35" spans="1:12" ht="13.5" thickTop="1" x14ac:dyDescent="0.15">
      <c r="A35" s="58"/>
      <c r="B35" s="58"/>
      <c r="C35" s="58"/>
      <c r="D35" s="58"/>
      <c r="E35" s="58"/>
      <c r="F35" s="58"/>
      <c r="G35" s="58"/>
      <c r="H35" s="58"/>
      <c r="I35" s="58" t="s">
        <v>14</v>
      </c>
      <c r="J35" s="58"/>
      <c r="K35" s="58"/>
      <c r="L35" s="58"/>
    </row>
    <row r="36" spans="1:12" x14ac:dyDescent="0.15">
      <c r="A36" s="58"/>
      <c r="B36" s="58"/>
      <c r="C36" s="58"/>
      <c r="D36" s="58"/>
      <c r="E36" s="58"/>
      <c r="F36" s="58"/>
      <c r="G36" s="58"/>
      <c r="H36" s="58"/>
      <c r="I36" s="58"/>
      <c r="J36" s="58"/>
      <c r="K36" s="58"/>
      <c r="L36" s="58"/>
    </row>
    <row r="37" spans="1:12" x14ac:dyDescent="0.15">
      <c r="A37" s="58"/>
      <c r="B37" s="58"/>
      <c r="C37" s="58"/>
      <c r="D37" s="58"/>
      <c r="E37" s="58"/>
      <c r="F37" s="58"/>
      <c r="G37" s="58"/>
      <c r="H37" s="58"/>
      <c r="I37" s="58"/>
      <c r="J37" s="58"/>
      <c r="K37" s="58"/>
      <c r="L37" s="58"/>
    </row>
    <row r="38" spans="1:12" x14ac:dyDescent="0.15">
      <c r="A38" s="58"/>
      <c r="B38" s="58"/>
      <c r="C38" s="58"/>
      <c r="D38" s="58"/>
      <c r="E38" s="58"/>
      <c r="F38" s="58"/>
      <c r="G38" s="58"/>
      <c r="H38" s="58"/>
      <c r="I38" s="58"/>
      <c r="J38" s="58"/>
      <c r="K38" s="58"/>
      <c r="L38" s="58"/>
    </row>
    <row r="39" spans="1:12" x14ac:dyDescent="0.15">
      <c r="A39" s="58"/>
      <c r="B39" s="58"/>
      <c r="C39" s="58"/>
      <c r="D39" s="58"/>
      <c r="E39" s="58"/>
      <c r="F39" s="58"/>
      <c r="G39" s="58"/>
      <c r="H39" s="58"/>
      <c r="I39" s="58"/>
      <c r="J39" s="58"/>
      <c r="K39" s="58"/>
      <c r="L39" s="58"/>
    </row>
    <row r="40" spans="1:12" x14ac:dyDescent="0.15">
      <c r="A40" s="58"/>
      <c r="B40" s="58"/>
      <c r="C40" s="58"/>
      <c r="D40" s="58"/>
      <c r="E40" s="58"/>
      <c r="F40" s="58"/>
      <c r="G40" s="58"/>
      <c r="H40" s="58"/>
      <c r="I40" s="58"/>
      <c r="J40" s="58"/>
      <c r="K40" s="58"/>
      <c r="L40" s="58"/>
    </row>
    <row r="41" spans="1:12" x14ac:dyDescent="0.15">
      <c r="A41" s="58"/>
      <c r="B41" s="58"/>
      <c r="C41" s="58"/>
      <c r="D41" s="58"/>
      <c r="E41" s="58"/>
      <c r="F41" s="58"/>
      <c r="G41" s="58"/>
      <c r="H41" s="58"/>
      <c r="I41" s="58"/>
      <c r="J41" s="58"/>
      <c r="K41" s="58"/>
      <c r="L41" s="58"/>
    </row>
    <row r="42" spans="1:12" x14ac:dyDescent="0.15">
      <c r="A42" s="58"/>
      <c r="B42" s="58"/>
      <c r="C42" s="58"/>
      <c r="D42" s="58"/>
      <c r="E42" s="58"/>
      <c r="F42" s="58"/>
      <c r="G42" s="58"/>
      <c r="H42" s="58"/>
      <c r="I42" s="58"/>
      <c r="J42" s="58"/>
      <c r="K42" s="58"/>
      <c r="L42" s="58"/>
    </row>
    <row r="43" spans="1:12" x14ac:dyDescent="0.15">
      <c r="A43" s="58"/>
      <c r="B43" s="58"/>
      <c r="C43" s="58"/>
      <c r="D43" s="58"/>
      <c r="E43" s="58"/>
      <c r="F43" s="58"/>
      <c r="G43" s="58"/>
      <c r="H43" s="58"/>
      <c r="I43" s="58"/>
      <c r="J43" s="58"/>
      <c r="K43" s="58"/>
      <c r="L43" s="58"/>
    </row>
    <row r="44" spans="1:12" x14ac:dyDescent="0.15">
      <c r="A44" s="58"/>
      <c r="B44" s="58"/>
      <c r="C44" s="58"/>
      <c r="D44" s="58"/>
      <c r="E44" s="58"/>
      <c r="F44" s="58"/>
      <c r="G44" s="58"/>
      <c r="H44" s="58"/>
      <c r="I44" s="58"/>
      <c r="J44" s="58"/>
      <c r="K44" s="58"/>
      <c r="L44" s="58"/>
    </row>
    <row r="45" spans="1:12" x14ac:dyDescent="0.15">
      <c r="A45" s="58"/>
      <c r="B45" s="58"/>
      <c r="C45" s="58"/>
      <c r="D45" s="58"/>
      <c r="E45" s="58"/>
      <c r="F45" s="58"/>
      <c r="G45" s="58"/>
      <c r="H45" s="58"/>
      <c r="I45" s="58"/>
      <c r="J45" s="58"/>
      <c r="K45" s="58"/>
      <c r="L45" s="58"/>
    </row>
    <row r="46" spans="1:12" x14ac:dyDescent="0.15">
      <c r="A46" s="58"/>
      <c r="B46" s="58"/>
      <c r="C46" s="58"/>
      <c r="D46" s="58"/>
      <c r="E46" s="58"/>
      <c r="F46" s="58"/>
      <c r="G46" s="58"/>
      <c r="H46" s="58"/>
      <c r="I46" s="58"/>
      <c r="J46" s="58"/>
      <c r="K46" s="58"/>
      <c r="L46" s="58"/>
    </row>
    <row r="47" spans="1:12" x14ac:dyDescent="0.15">
      <c r="A47" s="58"/>
      <c r="B47" s="58"/>
      <c r="C47" s="58"/>
      <c r="D47" s="58"/>
      <c r="E47" s="58"/>
      <c r="F47" s="58"/>
      <c r="G47" s="58"/>
      <c r="H47" s="58"/>
      <c r="I47" s="58"/>
      <c r="J47" s="58"/>
      <c r="K47" s="58"/>
      <c r="L47" s="58"/>
    </row>
    <row r="48" spans="1:12" x14ac:dyDescent="0.15">
      <c r="A48" s="58"/>
      <c r="B48" s="58"/>
      <c r="C48" s="58"/>
      <c r="D48" s="58"/>
      <c r="E48" s="58"/>
      <c r="F48" s="58"/>
      <c r="G48" s="58"/>
      <c r="H48" s="58"/>
      <c r="I48" s="58"/>
      <c r="J48" s="58"/>
      <c r="K48" s="58"/>
      <c r="L48" s="58"/>
    </row>
    <row r="49" spans="1:12" x14ac:dyDescent="0.15">
      <c r="A49" s="58"/>
      <c r="B49" s="58"/>
      <c r="C49" s="58"/>
      <c r="D49" s="58"/>
      <c r="E49" s="58"/>
      <c r="F49" s="58"/>
      <c r="G49" s="58"/>
      <c r="H49" s="58"/>
      <c r="I49" s="58"/>
      <c r="J49" s="58"/>
      <c r="K49" s="58"/>
      <c r="L49" s="58"/>
    </row>
    <row r="50" spans="1:12" x14ac:dyDescent="0.15">
      <c r="A50" s="58"/>
      <c r="B50" s="58"/>
      <c r="C50" s="58"/>
      <c r="D50" s="58"/>
      <c r="E50" s="58"/>
      <c r="F50" s="58"/>
      <c r="G50" s="58"/>
      <c r="H50" s="58"/>
      <c r="I50" s="58"/>
      <c r="J50" s="58"/>
      <c r="K50" s="58"/>
      <c r="L50" s="58"/>
    </row>
    <row r="51" spans="1:12" x14ac:dyDescent="0.15">
      <c r="A51" s="58"/>
      <c r="B51" s="58"/>
      <c r="C51" s="58"/>
      <c r="D51" s="58"/>
      <c r="E51" s="58"/>
      <c r="F51" s="58"/>
      <c r="G51" s="58"/>
      <c r="H51" s="58"/>
      <c r="I51" s="58"/>
      <c r="J51" s="58"/>
      <c r="K51" s="58"/>
      <c r="L51" s="58"/>
    </row>
    <row r="52" spans="1:12" x14ac:dyDescent="0.15">
      <c r="A52" s="58"/>
      <c r="B52" s="58"/>
      <c r="C52" s="58"/>
      <c r="D52" s="58"/>
      <c r="E52" s="58"/>
      <c r="F52" s="58"/>
      <c r="G52" s="58"/>
      <c r="H52" s="58"/>
      <c r="I52" s="58"/>
      <c r="J52" s="58"/>
      <c r="K52" s="58"/>
      <c r="L52" s="58"/>
    </row>
    <row r="53" spans="1:12" x14ac:dyDescent="0.15">
      <c r="A53" s="58"/>
      <c r="B53" s="58"/>
      <c r="C53" s="58"/>
      <c r="D53" s="58"/>
      <c r="E53" s="58"/>
      <c r="F53" s="58"/>
      <c r="G53" s="58"/>
      <c r="H53" s="58"/>
      <c r="I53" s="58"/>
      <c r="J53" s="58"/>
      <c r="K53" s="58"/>
      <c r="L53" s="58"/>
    </row>
    <row r="54" spans="1:12" x14ac:dyDescent="0.15">
      <c r="A54" s="58"/>
      <c r="B54" s="58"/>
      <c r="C54" s="58"/>
      <c r="D54" s="58"/>
      <c r="E54" s="58"/>
      <c r="F54" s="58"/>
      <c r="G54" s="58"/>
      <c r="H54" s="58"/>
      <c r="I54" s="58"/>
      <c r="J54" s="58"/>
      <c r="K54" s="58"/>
      <c r="L54" s="58"/>
    </row>
    <row r="55" spans="1:12" x14ac:dyDescent="0.15">
      <c r="A55" s="58"/>
      <c r="B55" s="58"/>
      <c r="C55" s="58"/>
      <c r="D55" s="58"/>
      <c r="E55" s="58"/>
      <c r="F55" s="58"/>
      <c r="G55" s="58"/>
      <c r="H55" s="58"/>
      <c r="I55" s="58"/>
      <c r="J55" s="58"/>
      <c r="K55" s="58"/>
      <c r="L55" s="58"/>
    </row>
    <row r="56" spans="1:12" x14ac:dyDescent="0.15">
      <c r="A56" s="58"/>
      <c r="B56" s="58"/>
      <c r="C56" s="58"/>
      <c r="D56" s="58"/>
      <c r="E56" s="58"/>
      <c r="F56" s="58"/>
      <c r="G56" s="58"/>
      <c r="H56" s="58"/>
      <c r="I56" s="58"/>
      <c r="J56" s="58"/>
      <c r="K56" s="58"/>
      <c r="L56" s="58"/>
    </row>
    <row r="57" spans="1:12" x14ac:dyDescent="0.15">
      <c r="A57" s="58"/>
      <c r="B57" s="58"/>
      <c r="C57" s="58"/>
      <c r="D57" s="58"/>
      <c r="E57" s="58"/>
      <c r="F57" s="58"/>
      <c r="G57" s="58"/>
      <c r="H57" s="58"/>
      <c r="I57" s="58"/>
      <c r="J57" s="58"/>
      <c r="K57" s="58"/>
      <c r="L57" s="58"/>
    </row>
    <row r="58" spans="1:12" x14ac:dyDescent="0.15">
      <c r="A58" s="58"/>
      <c r="B58" s="58"/>
      <c r="C58" s="58"/>
      <c r="D58" s="58"/>
      <c r="E58" s="58"/>
      <c r="F58" s="58"/>
      <c r="G58" s="58"/>
      <c r="H58" s="58"/>
      <c r="I58" s="58"/>
      <c r="J58" s="58"/>
      <c r="K58" s="58"/>
      <c r="L58" s="58"/>
    </row>
    <row r="59" spans="1:12" x14ac:dyDescent="0.15">
      <c r="A59" s="58"/>
      <c r="B59" s="58"/>
      <c r="C59" s="58"/>
      <c r="D59" s="58"/>
      <c r="E59" s="58"/>
      <c r="F59" s="58"/>
      <c r="G59" s="58"/>
      <c r="H59" s="58"/>
      <c r="I59" s="58"/>
      <c r="J59" s="58"/>
      <c r="K59" s="58"/>
      <c r="L59" s="58"/>
    </row>
    <row r="60" spans="1:12" x14ac:dyDescent="0.15">
      <c r="A60" s="58"/>
      <c r="B60" s="58"/>
      <c r="C60" s="58"/>
      <c r="D60" s="58"/>
      <c r="E60" s="58"/>
      <c r="F60" s="58"/>
      <c r="G60" s="58"/>
      <c r="H60" s="58"/>
      <c r="I60" s="58"/>
      <c r="J60" s="58"/>
      <c r="K60" s="58"/>
      <c r="L60" s="58"/>
    </row>
    <row r="61" spans="1:12" x14ac:dyDescent="0.15">
      <c r="A61" s="58"/>
      <c r="B61" s="58"/>
      <c r="C61" s="58"/>
      <c r="D61" s="58"/>
      <c r="E61" s="58"/>
      <c r="F61" s="58"/>
      <c r="G61" s="58"/>
      <c r="H61" s="58"/>
      <c r="I61" s="58"/>
      <c r="J61" s="58"/>
      <c r="K61" s="58"/>
      <c r="L61" s="58"/>
    </row>
    <row r="62" spans="1:12" x14ac:dyDescent="0.15">
      <c r="A62" s="58"/>
      <c r="B62" s="58"/>
      <c r="C62" s="58"/>
      <c r="D62" s="58"/>
      <c r="E62" s="58"/>
      <c r="F62" s="58"/>
      <c r="G62" s="58"/>
      <c r="H62" s="58"/>
      <c r="I62" s="58"/>
      <c r="J62" s="58"/>
      <c r="K62" s="58"/>
      <c r="L62" s="58"/>
    </row>
    <row r="63" spans="1:12" x14ac:dyDescent="0.15">
      <c r="A63" s="58"/>
      <c r="B63" s="58"/>
      <c r="C63" s="58"/>
      <c r="D63" s="58"/>
      <c r="E63" s="58"/>
      <c r="F63" s="58"/>
      <c r="G63" s="58"/>
      <c r="H63" s="58"/>
      <c r="I63" s="58"/>
      <c r="J63" s="58"/>
      <c r="K63" s="58"/>
      <c r="L63" s="58"/>
    </row>
    <row r="64" spans="1:12" x14ac:dyDescent="0.15">
      <c r="A64" s="58"/>
      <c r="B64" s="58"/>
      <c r="C64" s="58"/>
      <c r="D64" s="58"/>
      <c r="E64" s="58"/>
      <c r="F64" s="58"/>
      <c r="G64" s="58"/>
      <c r="H64" s="58"/>
      <c r="I64" s="58"/>
      <c r="J64" s="58"/>
      <c r="K64" s="58"/>
      <c r="L64" s="58"/>
    </row>
    <row r="65" spans="1:12" x14ac:dyDescent="0.15">
      <c r="A65" s="58"/>
      <c r="B65" s="58"/>
      <c r="C65" s="58"/>
      <c r="D65" s="58"/>
      <c r="E65" s="58"/>
      <c r="F65" s="58"/>
      <c r="G65" s="58"/>
      <c r="H65" s="58"/>
      <c r="I65" s="58"/>
      <c r="J65" s="58"/>
      <c r="K65" s="58"/>
      <c r="L65" s="58"/>
    </row>
    <row r="66" spans="1:12" x14ac:dyDescent="0.15">
      <c r="A66" s="58"/>
      <c r="B66" s="58"/>
      <c r="C66" s="58"/>
      <c r="D66" s="58"/>
      <c r="E66" s="58"/>
      <c r="F66" s="58"/>
      <c r="G66" s="58"/>
      <c r="H66" s="58"/>
      <c r="I66" s="58"/>
      <c r="J66" s="58"/>
      <c r="K66" s="58"/>
      <c r="L66" s="58"/>
    </row>
    <row r="67" spans="1:12" x14ac:dyDescent="0.15">
      <c r="A67" s="58"/>
      <c r="B67" s="58"/>
      <c r="C67" s="58"/>
      <c r="D67" s="58"/>
      <c r="E67" s="58"/>
      <c r="F67" s="58"/>
      <c r="G67" s="58"/>
      <c r="H67" s="58"/>
      <c r="I67" s="58"/>
      <c r="J67" s="58"/>
      <c r="K67" s="58"/>
      <c r="L67" s="58"/>
    </row>
    <row r="68" spans="1:12" x14ac:dyDescent="0.15">
      <c r="A68" s="58"/>
      <c r="B68" s="58"/>
      <c r="C68" s="58"/>
      <c r="D68" s="58"/>
      <c r="E68" s="58"/>
      <c r="F68" s="58"/>
      <c r="G68" s="58"/>
      <c r="H68" s="58"/>
      <c r="I68" s="58"/>
      <c r="J68" s="58"/>
      <c r="K68" s="58"/>
      <c r="L68" s="58"/>
    </row>
    <row r="69" spans="1:12" x14ac:dyDescent="0.15">
      <c r="A69" s="58"/>
      <c r="B69" s="58"/>
      <c r="C69" s="58"/>
      <c r="D69" s="58"/>
      <c r="E69" s="58"/>
      <c r="F69" s="58"/>
      <c r="G69" s="58"/>
      <c r="H69" s="58"/>
      <c r="I69" s="58"/>
      <c r="J69" s="58"/>
      <c r="K69" s="58"/>
      <c r="L69" s="58"/>
    </row>
    <row r="70" spans="1:12" x14ac:dyDescent="0.15">
      <c r="A70" s="58"/>
      <c r="B70" s="58"/>
      <c r="C70" s="58"/>
      <c r="D70" s="58"/>
      <c r="E70" s="58"/>
      <c r="F70" s="58"/>
      <c r="G70" s="58"/>
      <c r="H70" s="58"/>
      <c r="I70" s="58"/>
      <c r="J70" s="58"/>
      <c r="K70" s="58"/>
      <c r="L70" s="58"/>
    </row>
  </sheetData>
  <sheetProtection sheet="1" objects="1" scenarios="1"/>
  <mergeCells count="27">
    <mergeCell ref="K29:K30"/>
    <mergeCell ref="C21:C22"/>
    <mergeCell ref="C29:C30"/>
    <mergeCell ref="G29:G30"/>
    <mergeCell ref="D26:I26"/>
    <mergeCell ref="D18:I18"/>
    <mergeCell ref="A14:L14"/>
    <mergeCell ref="A1:L3"/>
    <mergeCell ref="A4:L4"/>
    <mergeCell ref="A5:B6"/>
    <mergeCell ref="C5:D6"/>
    <mergeCell ref="E5:F6"/>
    <mergeCell ref="G5:H6"/>
    <mergeCell ref="I5:J6"/>
    <mergeCell ref="K5:L6"/>
    <mergeCell ref="C9:J10"/>
    <mergeCell ref="A12:L12"/>
    <mergeCell ref="A21:B22"/>
    <mergeCell ref="G21:G22"/>
    <mergeCell ref="D21:F22"/>
    <mergeCell ref="I21:J22"/>
    <mergeCell ref="K21:K22"/>
    <mergeCell ref="F34:G34"/>
    <mergeCell ref="A29:B30"/>
    <mergeCell ref="E29:F30"/>
    <mergeCell ref="I29:J30"/>
    <mergeCell ref="A32:B32"/>
  </mergeCells>
  <phoneticPr fontId="0" type="noConversion"/>
  <hyperlinks>
    <hyperlink ref="F34:G34" location="'TURN SURFACE FINISHES'!A1" display="To Top of Page" xr:uid="{00000000-0004-0000-0600-000000000000}"/>
  </hyperlinks>
  <printOptions horizontalCentered="1" verticalCentered="1"/>
  <pageMargins left="0" right="0" top="0" bottom="0" header="0" footer="0"/>
  <pageSetup scale="91" orientation="portrait"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pageSetUpPr fitToPage="1"/>
  </sheetPr>
  <dimension ref="A1:O83"/>
  <sheetViews>
    <sheetView showGridLines="0" showRowColHeaders="0" showOutlineSymbols="0" topLeftCell="A35" zoomScale="103" workbookViewId="0">
      <selection activeCell="H55" sqref="H55:I56"/>
    </sheetView>
  </sheetViews>
  <sheetFormatPr defaultRowHeight="12.75" x14ac:dyDescent="0.15"/>
  <cols>
    <col min="1" max="12" width="9.03515625" customWidth="1"/>
    <col min="13" max="14" width="12.67578125" hidden="1" customWidth="1"/>
  </cols>
  <sheetData>
    <row r="1" spans="1:12" ht="18" customHeight="1" thickTop="1" x14ac:dyDescent="0.15">
      <c r="A1" s="795" t="s">
        <v>0</v>
      </c>
      <c r="B1" s="796"/>
      <c r="C1" s="796"/>
      <c r="D1" s="796"/>
      <c r="E1" s="796"/>
      <c r="F1" s="796"/>
      <c r="G1" s="796"/>
      <c r="H1" s="796"/>
      <c r="I1" s="796"/>
      <c r="J1" s="796"/>
      <c r="K1" s="796"/>
      <c r="L1" s="797"/>
    </row>
    <row r="2" spans="1:12" ht="18" customHeight="1" x14ac:dyDescent="0.15">
      <c r="A2" s="707"/>
      <c r="B2" s="708"/>
      <c r="C2" s="708"/>
      <c r="D2" s="708"/>
      <c r="E2" s="708"/>
      <c r="F2" s="708"/>
      <c r="G2" s="708"/>
      <c r="H2" s="708"/>
      <c r="I2" s="708"/>
      <c r="J2" s="708"/>
      <c r="K2" s="708"/>
      <c r="L2" s="709"/>
    </row>
    <row r="3" spans="1:12" ht="18" customHeight="1" x14ac:dyDescent="0.15">
      <c r="A3" s="707"/>
      <c r="B3" s="708"/>
      <c r="C3" s="708"/>
      <c r="D3" s="708"/>
      <c r="E3" s="708"/>
      <c r="F3" s="708"/>
      <c r="G3" s="708"/>
      <c r="H3" s="708"/>
      <c r="I3" s="708"/>
      <c r="J3" s="708"/>
      <c r="K3" s="708"/>
      <c r="L3" s="709"/>
    </row>
    <row r="4" spans="1:12" ht="18" customHeight="1" thickBot="1" x14ac:dyDescent="0.2">
      <c r="A4" s="798"/>
      <c r="B4" s="799"/>
      <c r="C4" s="799"/>
      <c r="D4" s="799"/>
      <c r="E4" s="799"/>
      <c r="F4" s="799"/>
      <c r="G4" s="799"/>
      <c r="H4" s="799"/>
      <c r="I4" s="799"/>
      <c r="J4" s="799"/>
      <c r="K4" s="799"/>
      <c r="L4" s="800"/>
    </row>
    <row r="5" spans="1:12" ht="20.100000000000001" hidden="1" customHeight="1" thickTop="1" thickBot="1" x14ac:dyDescent="0.2">
      <c r="A5" s="448" t="s">
        <v>1</v>
      </c>
      <c r="B5" s="449"/>
      <c r="C5" s="452" t="s">
        <v>2</v>
      </c>
      <c r="D5" s="455"/>
      <c r="E5" s="452" t="s">
        <v>3</v>
      </c>
      <c r="F5" s="455"/>
      <c r="G5" s="452" t="s">
        <v>4</v>
      </c>
      <c r="H5" s="455"/>
      <c r="I5" s="452" t="s">
        <v>5</v>
      </c>
      <c r="J5" s="455"/>
      <c r="K5" s="814" t="s">
        <v>6</v>
      </c>
      <c r="L5" s="815"/>
    </row>
    <row r="6" spans="1:12" ht="20.100000000000001" hidden="1" customHeight="1" thickBot="1" x14ac:dyDescent="0.2">
      <c r="A6" s="793" t="s">
        <v>7</v>
      </c>
      <c r="B6" s="653"/>
      <c r="C6" s="794" t="s">
        <v>8</v>
      </c>
      <c r="D6" s="794"/>
      <c r="E6" s="649" t="s">
        <v>9</v>
      </c>
      <c r="F6" s="650"/>
      <c r="G6" s="649" t="s">
        <v>10</v>
      </c>
      <c r="H6" s="651"/>
      <c r="I6" s="652" t="s">
        <v>11</v>
      </c>
      <c r="J6" s="653"/>
      <c r="K6" s="2"/>
      <c r="L6" s="3"/>
    </row>
    <row r="7" spans="1:12" ht="20.100000000000001" customHeight="1" thickTop="1" x14ac:dyDescent="0.15">
      <c r="A7" s="4"/>
      <c r="B7" s="5"/>
      <c r="C7" s="5"/>
      <c r="D7" s="5"/>
      <c r="E7" s="5"/>
      <c r="F7" s="6"/>
      <c r="G7" s="5"/>
      <c r="H7" s="5"/>
      <c r="I7" s="5"/>
      <c r="J7" s="5"/>
      <c r="K7" s="5"/>
      <c r="L7" s="7"/>
    </row>
    <row r="8" spans="1:12" ht="12.75" customHeight="1" x14ac:dyDescent="0.15">
      <c r="A8" s="8"/>
      <c r="B8" s="9"/>
      <c r="C8" s="9"/>
      <c r="D8" s="9"/>
      <c r="E8" s="9"/>
      <c r="F8" s="9"/>
      <c r="G8" s="9"/>
      <c r="H8" s="9"/>
      <c r="I8" s="9"/>
      <c r="J8" s="9"/>
      <c r="K8" s="9"/>
      <c r="L8" s="10"/>
    </row>
    <row r="9" spans="1:12" ht="12.75" customHeight="1" x14ac:dyDescent="0.15">
      <c r="A9" s="8"/>
      <c r="B9" s="9"/>
      <c r="C9" s="9"/>
      <c r="D9" s="9"/>
      <c r="E9" s="9"/>
      <c r="F9" s="9"/>
      <c r="G9" s="9"/>
      <c r="H9" s="9"/>
      <c r="I9" s="9"/>
      <c r="J9" s="9"/>
      <c r="K9" s="9"/>
      <c r="L9" s="10"/>
    </row>
    <row r="10" spans="1:12" ht="12.75" customHeight="1" x14ac:dyDescent="0.15">
      <c r="A10" s="8"/>
      <c r="B10" s="9"/>
      <c r="C10" s="9"/>
      <c r="D10" s="9"/>
      <c r="E10" s="9"/>
      <c r="F10" s="9"/>
      <c r="G10" s="9"/>
      <c r="H10" s="9"/>
      <c r="I10" s="9"/>
      <c r="J10" s="9"/>
      <c r="K10" s="9"/>
      <c r="L10" s="10"/>
    </row>
    <row r="11" spans="1:12" ht="12.75" customHeight="1" x14ac:dyDescent="0.15">
      <c r="A11" s="8"/>
      <c r="B11" s="9"/>
      <c r="C11" s="9"/>
      <c r="D11" s="9"/>
      <c r="E11" s="9"/>
      <c r="F11" s="9"/>
      <c r="G11" s="9"/>
      <c r="H11" s="9"/>
      <c r="I11" s="9"/>
      <c r="J11" s="9"/>
      <c r="K11" s="9"/>
      <c r="L11" s="10"/>
    </row>
    <row r="12" spans="1:12" ht="12.75" customHeight="1" x14ac:dyDescent="0.15">
      <c r="A12" s="8"/>
      <c r="B12" s="9"/>
      <c r="C12" s="9"/>
      <c r="D12" s="9"/>
      <c r="E12" s="9"/>
      <c r="F12" s="9"/>
      <c r="G12" s="9"/>
      <c r="H12" s="9"/>
      <c r="I12" s="9"/>
      <c r="J12" s="9"/>
      <c r="K12" s="9"/>
      <c r="L12" s="10"/>
    </row>
    <row r="13" spans="1:12" ht="12.75" customHeight="1" thickBot="1" x14ac:dyDescent="0.2">
      <c r="A13" s="4"/>
      <c r="B13" s="5"/>
      <c r="C13" s="5"/>
      <c r="D13" s="5"/>
      <c r="E13" s="5"/>
      <c r="F13" s="5"/>
      <c r="G13" s="5"/>
      <c r="H13" s="5"/>
      <c r="I13" s="5"/>
      <c r="J13" s="5"/>
      <c r="K13" s="5"/>
      <c r="L13" s="7"/>
    </row>
    <row r="14" spans="1:12" ht="12.75" customHeight="1" thickTop="1" x14ac:dyDescent="0.15">
      <c r="A14" s="704" t="s">
        <v>12</v>
      </c>
      <c r="B14" s="801"/>
      <c r="C14" s="801"/>
      <c r="D14" s="801"/>
      <c r="E14" s="801"/>
      <c r="F14" s="801"/>
      <c r="G14" s="801"/>
      <c r="H14" s="801"/>
      <c r="I14" s="801"/>
      <c r="J14" s="801"/>
      <c r="K14" s="801"/>
      <c r="L14" s="802"/>
    </row>
    <row r="15" spans="1:12" ht="12.75" customHeight="1" x14ac:dyDescent="0.15">
      <c r="A15" s="803"/>
      <c r="B15" s="804"/>
      <c r="C15" s="804"/>
      <c r="D15" s="804"/>
      <c r="E15" s="804"/>
      <c r="F15" s="804"/>
      <c r="G15" s="804"/>
      <c r="H15" s="804"/>
      <c r="I15" s="804"/>
      <c r="J15" s="804"/>
      <c r="K15" s="804"/>
      <c r="L15" s="805"/>
    </row>
    <row r="16" spans="1:12" ht="12.75" customHeight="1" thickBot="1" x14ac:dyDescent="0.2">
      <c r="A16" s="806"/>
      <c r="B16" s="807"/>
      <c r="C16" s="807"/>
      <c r="D16" s="807"/>
      <c r="E16" s="807"/>
      <c r="F16" s="807"/>
      <c r="G16" s="807"/>
      <c r="H16" s="807"/>
      <c r="I16" s="807"/>
      <c r="J16" s="807"/>
      <c r="K16" s="807"/>
      <c r="L16" s="808"/>
    </row>
    <row r="17" spans="1:13" ht="12.75" customHeight="1" thickTop="1" thickBot="1" x14ac:dyDescent="0.2">
      <c r="A17" s="11"/>
      <c r="B17" s="12"/>
      <c r="C17" s="12"/>
      <c r="D17" s="12"/>
      <c r="E17" s="12"/>
      <c r="F17" s="12"/>
      <c r="G17" s="12"/>
      <c r="H17" s="12"/>
      <c r="I17" s="12"/>
      <c r="J17" s="12"/>
      <c r="K17" s="12"/>
      <c r="L17" s="13"/>
    </row>
    <row r="18" spans="1:13" ht="12.75" customHeight="1" thickTop="1" thickBot="1" x14ac:dyDescent="0.2">
      <c r="A18" s="11"/>
      <c r="B18" s="12"/>
      <c r="C18" s="12"/>
      <c r="D18" s="758" t="s">
        <v>13</v>
      </c>
      <c r="E18" s="812"/>
      <c r="F18" s="812"/>
      <c r="G18" s="812"/>
      <c r="H18" s="812"/>
      <c r="I18" s="813"/>
      <c r="J18" s="12"/>
      <c r="K18" s="12"/>
      <c r="L18" s="13"/>
    </row>
    <row r="19" spans="1:13" ht="12.75" customHeight="1" thickTop="1" thickBot="1" x14ac:dyDescent="0.2">
      <c r="A19" s="14"/>
      <c r="B19" s="15"/>
      <c r="C19" s="15"/>
      <c r="D19" s="15"/>
      <c r="E19" s="15"/>
      <c r="F19" s="15"/>
      <c r="G19" s="15"/>
      <c r="H19" s="15"/>
      <c r="I19" s="15"/>
      <c r="J19" s="15"/>
      <c r="K19" s="15"/>
      <c r="L19" s="16"/>
    </row>
    <row r="20" spans="1:13" ht="12.75" customHeight="1" x14ac:dyDescent="0.2">
      <c r="A20" s="17" t="s">
        <v>14</v>
      </c>
      <c r="B20" s="776" t="s">
        <v>15</v>
      </c>
      <c r="C20" s="777"/>
      <c r="D20" s="778"/>
      <c r="E20" s="809">
        <v>250</v>
      </c>
      <c r="F20" s="18"/>
      <c r="G20" s="776" t="s">
        <v>16</v>
      </c>
      <c r="H20" s="777"/>
      <c r="I20" s="778"/>
      <c r="J20" s="810">
        <v>0.62</v>
      </c>
      <c r="K20" s="654" t="s">
        <v>17</v>
      </c>
      <c r="L20" s="19"/>
    </row>
    <row r="21" spans="1:13" ht="12.75" customHeight="1" thickBot="1" x14ac:dyDescent="0.25">
      <c r="A21" s="17"/>
      <c r="B21" s="779"/>
      <c r="C21" s="780"/>
      <c r="D21" s="781"/>
      <c r="E21" s="783"/>
      <c r="F21" s="18"/>
      <c r="G21" s="779"/>
      <c r="H21" s="780"/>
      <c r="I21" s="781"/>
      <c r="J21" s="811"/>
      <c r="K21" s="788"/>
      <c r="L21" s="19"/>
    </row>
    <row r="22" spans="1:13" ht="15" customHeight="1" thickBot="1" x14ac:dyDescent="0.25">
      <c r="A22" s="20"/>
      <c r="B22" s="18"/>
      <c r="C22" s="18"/>
      <c r="D22" s="18"/>
      <c r="E22" s="21"/>
      <c r="F22" s="18"/>
      <c r="G22" s="18"/>
      <c r="H22" s="18"/>
      <c r="I22" s="18"/>
      <c r="J22" s="21"/>
      <c r="K22" s="18"/>
      <c r="L22" s="19"/>
    </row>
    <row r="23" spans="1:13" ht="12.75" customHeight="1" x14ac:dyDescent="0.2">
      <c r="A23" s="776" t="s">
        <v>18</v>
      </c>
      <c r="B23" s="777"/>
      <c r="C23" s="777"/>
      <c r="D23" s="778"/>
      <c r="E23" s="782">
        <v>2.5000000000000001E-3</v>
      </c>
      <c r="F23" s="791" t="s">
        <v>17</v>
      </c>
      <c r="G23" s="776" t="s">
        <v>19</v>
      </c>
      <c r="H23" s="777"/>
      <c r="I23" s="778"/>
      <c r="J23" s="782">
        <v>0.05</v>
      </c>
      <c r="K23" s="654" t="s">
        <v>17</v>
      </c>
      <c r="L23" s="19"/>
    </row>
    <row r="24" spans="1:13" ht="12.75" customHeight="1" thickBot="1" x14ac:dyDescent="0.25">
      <c r="A24" s="779"/>
      <c r="B24" s="780"/>
      <c r="C24" s="780"/>
      <c r="D24" s="781"/>
      <c r="E24" s="783"/>
      <c r="F24" s="792"/>
      <c r="G24" s="779"/>
      <c r="H24" s="780"/>
      <c r="I24" s="781"/>
      <c r="J24" s="783"/>
      <c r="K24" s="654"/>
      <c r="L24" s="19"/>
    </row>
    <row r="25" spans="1:13" ht="12.75" customHeight="1" thickBot="1" x14ac:dyDescent="0.25">
      <c r="A25" s="20"/>
      <c r="B25" s="18"/>
      <c r="C25" s="18"/>
      <c r="D25" s="18"/>
      <c r="E25" s="21"/>
      <c r="F25" s="18"/>
      <c r="G25" s="18"/>
      <c r="H25" s="18"/>
      <c r="I25" s="18"/>
      <c r="J25" s="21"/>
      <c r="K25" s="18"/>
      <c r="L25" s="19"/>
    </row>
    <row r="26" spans="1:13" ht="12.75" customHeight="1" x14ac:dyDescent="0.2">
      <c r="A26" s="20"/>
      <c r="B26" s="776" t="s">
        <v>20</v>
      </c>
      <c r="C26" s="777"/>
      <c r="D26" s="778"/>
      <c r="E26" s="782">
        <v>2</v>
      </c>
      <c r="F26" s="18"/>
      <c r="G26" s="776" t="s">
        <v>21</v>
      </c>
      <c r="H26" s="777"/>
      <c r="I26" s="778"/>
      <c r="J26" s="789">
        <f>IF(E20=0," ",IF(E20= A$21:A$65536," ",IF(J23&gt;=M26,1,SQRT((J20-J23)*J23)/M26)))</f>
        <v>0.54457880697206873</v>
      </c>
      <c r="K26" s="18"/>
      <c r="L26" s="19"/>
      <c r="M26">
        <f>J20/2</f>
        <v>0.31</v>
      </c>
    </row>
    <row r="27" spans="1:13" ht="12.75" customHeight="1" thickBot="1" x14ac:dyDescent="0.25">
      <c r="A27" s="20"/>
      <c r="B27" s="779"/>
      <c r="C27" s="780"/>
      <c r="D27" s="781"/>
      <c r="E27" s="783"/>
      <c r="F27" s="18"/>
      <c r="G27" s="779"/>
      <c r="H27" s="780"/>
      <c r="I27" s="781"/>
      <c r="J27" s="790"/>
      <c r="K27" s="18"/>
      <c r="L27" s="19"/>
    </row>
    <row r="28" spans="1:13" ht="15.75" customHeight="1" thickBot="1" x14ac:dyDescent="0.25">
      <c r="A28" s="20"/>
      <c r="B28" s="18"/>
      <c r="C28" s="18"/>
      <c r="D28" s="18"/>
      <c r="E28" s="18"/>
      <c r="F28" s="18"/>
      <c r="G28" s="18"/>
      <c r="H28" s="18"/>
      <c r="I28" s="18"/>
      <c r="J28" s="18"/>
      <c r="K28" s="18"/>
      <c r="L28" s="19"/>
    </row>
    <row r="29" spans="1:13" ht="12.75" customHeight="1" thickTop="1" x14ac:dyDescent="0.15">
      <c r="A29" s="668" t="s">
        <v>22</v>
      </c>
      <c r="B29" s="669"/>
      <c r="C29" s="22"/>
      <c r="D29" s="669" t="s">
        <v>23</v>
      </c>
      <c r="E29" s="669"/>
      <c r="F29" s="22"/>
      <c r="G29" s="669" t="s">
        <v>24</v>
      </c>
      <c r="H29" s="669"/>
      <c r="I29" s="768"/>
      <c r="J29" s="669" t="s">
        <v>25</v>
      </c>
      <c r="K29" s="669"/>
      <c r="L29" s="23"/>
    </row>
    <row r="30" spans="1:13" ht="12.75" customHeight="1" x14ac:dyDescent="0.15">
      <c r="A30" s="670"/>
      <c r="B30" s="671"/>
      <c r="C30" s="21"/>
      <c r="D30" s="671"/>
      <c r="E30" s="671"/>
      <c r="F30" s="21"/>
      <c r="G30" s="671"/>
      <c r="H30" s="671"/>
      <c r="I30" s="769"/>
      <c r="J30" s="671"/>
      <c r="K30" s="671"/>
      <c r="L30" s="25"/>
    </row>
    <row r="31" spans="1:13" ht="12.75" customHeight="1" x14ac:dyDescent="0.15">
      <c r="A31" s="672"/>
      <c r="B31" s="673"/>
      <c r="C31" s="21"/>
      <c r="D31" s="673"/>
      <c r="E31" s="673"/>
      <c r="F31" s="21"/>
      <c r="G31" s="673"/>
      <c r="H31" s="673"/>
      <c r="I31" s="24"/>
      <c r="J31" s="673"/>
      <c r="K31" s="673"/>
      <c r="L31" s="25"/>
    </row>
    <row r="32" spans="1:13" ht="12.75" customHeight="1" thickBot="1" x14ac:dyDescent="0.2">
      <c r="A32" s="672"/>
      <c r="B32" s="673"/>
      <c r="C32" s="21"/>
      <c r="D32" s="673"/>
      <c r="E32" s="673"/>
      <c r="F32" s="21"/>
      <c r="G32" s="673"/>
      <c r="H32" s="673"/>
      <c r="I32" s="24"/>
      <c r="J32" s="673"/>
      <c r="K32" s="673"/>
      <c r="L32" s="25"/>
    </row>
    <row r="33" spans="1:12" ht="12.75" customHeight="1" x14ac:dyDescent="0.25">
      <c r="A33" s="764">
        <f>IF(J23&gt;=M26,J20,2*SQRT(((J20*J23)-(J23*J23))))</f>
        <v>0.33763886032268264</v>
      </c>
      <c r="B33" s="765"/>
      <c r="C33" s="26"/>
      <c r="D33" s="770">
        <f>3.82*E20/A33</f>
        <v>2828.4658912996661</v>
      </c>
      <c r="E33" s="771"/>
      <c r="F33" s="26"/>
      <c r="G33" s="774">
        <f>E23/J26</f>
        <v>4.590703802632966E-3</v>
      </c>
      <c r="H33" s="765"/>
      <c r="I33" s="26"/>
      <c r="J33" s="784">
        <f>(G33*E26)*D33</f>
        <v>25.969298245614038</v>
      </c>
      <c r="K33" s="785"/>
      <c r="L33" s="19"/>
    </row>
    <row r="34" spans="1:12" ht="12.75" customHeight="1" thickBot="1" x14ac:dyDescent="0.3">
      <c r="A34" s="766"/>
      <c r="B34" s="767"/>
      <c r="C34" s="27"/>
      <c r="D34" s="772"/>
      <c r="E34" s="773"/>
      <c r="F34" s="27"/>
      <c r="G34" s="775"/>
      <c r="H34" s="767"/>
      <c r="I34" s="27"/>
      <c r="J34" s="786"/>
      <c r="K34" s="787"/>
      <c r="L34" s="28"/>
    </row>
    <row r="35" spans="1:12" ht="12.75" customHeight="1" thickBot="1" x14ac:dyDescent="0.2">
      <c r="A35" s="29"/>
      <c r="B35" s="30"/>
      <c r="C35" s="30"/>
      <c r="D35" s="30"/>
      <c r="E35" s="30"/>
      <c r="F35" s="31"/>
      <c r="G35" s="30"/>
      <c r="H35" s="30"/>
      <c r="I35" s="30"/>
      <c r="J35" s="30"/>
      <c r="K35" s="30"/>
      <c r="L35" s="32"/>
    </row>
    <row r="36" spans="1:12" ht="12.75" customHeight="1" thickTop="1" x14ac:dyDescent="0.15">
      <c r="A36" s="704" t="s">
        <v>26</v>
      </c>
      <c r="B36" s="705"/>
      <c r="C36" s="705"/>
      <c r="D36" s="705"/>
      <c r="E36" s="705"/>
      <c r="F36" s="705"/>
      <c r="G36" s="705"/>
      <c r="H36" s="705"/>
      <c r="I36" s="705"/>
      <c r="J36" s="705"/>
      <c r="K36" s="705"/>
      <c r="L36" s="706"/>
    </row>
    <row r="37" spans="1:12" ht="12.75" customHeight="1" x14ac:dyDescent="0.15">
      <c r="A37" s="707"/>
      <c r="B37" s="708"/>
      <c r="C37" s="708"/>
      <c r="D37" s="708"/>
      <c r="E37" s="708"/>
      <c r="F37" s="708"/>
      <c r="G37" s="708"/>
      <c r="H37" s="708"/>
      <c r="I37" s="708"/>
      <c r="J37" s="708"/>
      <c r="K37" s="708"/>
      <c r="L37" s="709"/>
    </row>
    <row r="38" spans="1:12" ht="12.75" customHeight="1" x14ac:dyDescent="0.15">
      <c r="A38" s="707"/>
      <c r="B38" s="708"/>
      <c r="C38" s="708"/>
      <c r="D38" s="708"/>
      <c r="E38" s="708"/>
      <c r="F38" s="708"/>
      <c r="G38" s="708"/>
      <c r="H38" s="708"/>
      <c r="I38" s="708"/>
      <c r="J38" s="708"/>
      <c r="K38" s="708"/>
      <c r="L38" s="709"/>
    </row>
    <row r="39" spans="1:12" ht="12.75" customHeight="1" thickBot="1" x14ac:dyDescent="0.2">
      <c r="A39" s="710"/>
      <c r="B39" s="711"/>
      <c r="C39" s="711"/>
      <c r="D39" s="711"/>
      <c r="E39" s="711"/>
      <c r="F39" s="711"/>
      <c r="G39" s="711"/>
      <c r="H39" s="711"/>
      <c r="I39" s="711"/>
      <c r="J39" s="711"/>
      <c r="K39" s="711"/>
      <c r="L39" s="712"/>
    </row>
    <row r="40" spans="1:12" ht="12.75" customHeight="1" thickTop="1" thickBot="1" x14ac:dyDescent="0.2">
      <c r="A40" s="14"/>
      <c r="B40" s="15"/>
      <c r="C40" s="15"/>
      <c r="D40" s="15"/>
      <c r="E40" s="15"/>
      <c r="F40" s="15"/>
      <c r="G40" s="15"/>
      <c r="H40" s="15"/>
      <c r="I40" s="15"/>
      <c r="J40" s="15"/>
      <c r="K40" s="15"/>
      <c r="L40" s="16"/>
    </row>
    <row r="41" spans="1:12" ht="12.75" customHeight="1" thickTop="1" thickBot="1" x14ac:dyDescent="0.2">
      <c r="A41" s="14"/>
      <c r="B41" s="15"/>
      <c r="C41" s="15"/>
      <c r="D41" s="758" t="s">
        <v>13</v>
      </c>
      <c r="E41" s="759"/>
      <c r="F41" s="759"/>
      <c r="G41" s="759"/>
      <c r="H41" s="759"/>
      <c r="I41" s="760"/>
      <c r="J41" s="15"/>
      <c r="K41" s="15"/>
      <c r="L41" s="16"/>
    </row>
    <row r="42" spans="1:12" ht="12.75" customHeight="1" thickTop="1" x14ac:dyDescent="0.15">
      <c r="A42" s="14"/>
      <c r="B42" s="15"/>
      <c r="C42" s="15"/>
      <c r="D42" s="15"/>
      <c r="E42" s="15"/>
      <c r="F42" s="15"/>
      <c r="G42" s="15"/>
      <c r="H42" s="15"/>
      <c r="I42" s="15"/>
      <c r="J42" s="15"/>
      <c r="K42" s="15"/>
      <c r="L42" s="16"/>
    </row>
    <row r="43" spans="1:12" ht="12.75" customHeight="1" x14ac:dyDescent="0.15">
      <c r="A43" s="14"/>
      <c r="B43" s="761" t="s">
        <v>27</v>
      </c>
      <c r="C43" s="762"/>
      <c r="D43" s="762"/>
      <c r="E43" s="762"/>
      <c r="F43" s="762"/>
      <c r="G43" s="762"/>
      <c r="H43" s="762"/>
      <c r="I43" s="762"/>
      <c r="J43" s="762"/>
      <c r="K43" s="763"/>
      <c r="L43" s="16"/>
    </row>
    <row r="44" spans="1:12" ht="12.75" customHeight="1" x14ac:dyDescent="0.15">
      <c r="A44" s="14"/>
      <c r="B44" s="15"/>
      <c r="C44" s="15"/>
      <c r="D44" s="15"/>
      <c r="E44" s="15"/>
      <c r="F44" s="15"/>
      <c r="G44" s="15"/>
      <c r="H44" s="15"/>
      <c r="I44" s="15"/>
      <c r="J44" s="15"/>
      <c r="K44" s="15"/>
      <c r="L44" s="16"/>
    </row>
    <row r="45" spans="1:12" ht="12.75" customHeight="1" x14ac:dyDescent="0.15">
      <c r="A45" s="743" t="s">
        <v>28</v>
      </c>
      <c r="B45" s="744"/>
      <c r="C45" s="745"/>
      <c r="D45" s="15"/>
      <c r="E45" s="694" t="s">
        <v>29</v>
      </c>
      <c r="F45" s="713"/>
      <c r="G45" s="15"/>
      <c r="H45" s="694" t="s">
        <v>30</v>
      </c>
      <c r="I45" s="736"/>
      <c r="J45" s="15"/>
      <c r="K45" s="694" t="s">
        <v>31</v>
      </c>
      <c r="L45" s="739"/>
    </row>
    <row r="46" spans="1:12" ht="12.75" customHeight="1" x14ac:dyDescent="0.15">
      <c r="A46" s="746"/>
      <c r="B46" s="747"/>
      <c r="C46" s="748"/>
      <c r="D46" s="15"/>
      <c r="E46" s="714"/>
      <c r="F46" s="715"/>
      <c r="G46" s="15"/>
      <c r="H46" s="737"/>
      <c r="I46" s="738"/>
      <c r="J46" s="15"/>
      <c r="K46" s="714"/>
      <c r="L46" s="740"/>
    </row>
    <row r="47" spans="1:12" ht="12.75" customHeight="1" x14ac:dyDescent="0.15">
      <c r="A47" s="749"/>
      <c r="B47" s="750"/>
      <c r="C47" s="751"/>
      <c r="D47" s="15"/>
      <c r="E47" s="716"/>
      <c r="F47" s="717"/>
      <c r="G47" s="15"/>
      <c r="H47" s="716"/>
      <c r="I47" s="717"/>
      <c r="J47" s="15"/>
      <c r="K47" s="741"/>
      <c r="L47" s="742"/>
    </row>
    <row r="48" spans="1:12" ht="12.75" customHeight="1" thickBot="1" x14ac:dyDescent="0.2">
      <c r="A48" s="14"/>
      <c r="B48" s="15"/>
      <c r="C48" s="15"/>
      <c r="D48" s="15"/>
      <c r="E48" s="15"/>
      <c r="F48" s="15"/>
      <c r="G48" s="15"/>
      <c r="H48" s="15"/>
      <c r="I48" s="15"/>
      <c r="J48" s="15"/>
      <c r="K48" s="15"/>
      <c r="L48" s="16"/>
    </row>
    <row r="49" spans="1:15" ht="12.75" customHeight="1" thickTop="1" x14ac:dyDescent="0.15">
      <c r="A49" s="14"/>
      <c r="B49" s="15"/>
      <c r="C49" s="15"/>
      <c r="D49" s="15"/>
      <c r="E49" s="718">
        <f>N54*317500</f>
        <v>43.10043099297382</v>
      </c>
      <c r="F49" s="719"/>
      <c r="G49" s="15"/>
      <c r="H49" s="724">
        <f>SQRT(N60)</f>
        <v>5.0196464411052686E-3</v>
      </c>
      <c r="I49" s="725"/>
      <c r="J49" s="15"/>
      <c r="K49" s="752">
        <f>N66/N65*2</f>
        <v>0.17859375</v>
      </c>
      <c r="L49" s="753"/>
    </row>
    <row r="50" spans="1:15" ht="16.5" customHeight="1" x14ac:dyDescent="0.15">
      <c r="A50" s="14"/>
      <c r="B50" s="15"/>
      <c r="C50" s="15"/>
      <c r="D50" s="15"/>
      <c r="E50" s="720"/>
      <c r="F50" s="721"/>
      <c r="G50" s="15"/>
      <c r="H50" s="726"/>
      <c r="I50" s="727"/>
      <c r="J50" s="15"/>
      <c r="K50" s="754"/>
      <c r="L50" s="755"/>
    </row>
    <row r="51" spans="1:15" ht="12.75" customHeight="1" thickBot="1" x14ac:dyDescent="0.2">
      <c r="A51" s="14"/>
      <c r="B51" s="15"/>
      <c r="C51" s="15"/>
      <c r="D51" s="15"/>
      <c r="E51" s="722"/>
      <c r="F51" s="723"/>
      <c r="G51" s="15"/>
      <c r="H51" s="728"/>
      <c r="I51" s="729"/>
      <c r="J51" s="15"/>
      <c r="K51" s="756"/>
      <c r="L51" s="757"/>
    </row>
    <row r="52" spans="1:15" ht="12.75" customHeight="1" thickTop="1" x14ac:dyDescent="0.15">
      <c r="A52" s="730" t="s">
        <v>32</v>
      </c>
      <c r="B52" s="731"/>
      <c r="C52" s="732"/>
      <c r="D52" s="15"/>
      <c r="E52" s="15"/>
      <c r="F52" s="15"/>
      <c r="G52" s="15"/>
      <c r="H52" s="15"/>
      <c r="I52" s="15"/>
      <c r="J52" s="15"/>
      <c r="K52" s="15"/>
      <c r="L52" s="16"/>
      <c r="N52">
        <f>E55/2</f>
        <v>5.8999999999999997E-2</v>
      </c>
    </row>
    <row r="53" spans="1:15" ht="12.75" customHeight="1" x14ac:dyDescent="0.15">
      <c r="A53" s="733"/>
      <c r="B53" s="734"/>
      <c r="C53" s="735"/>
      <c r="D53" s="15"/>
      <c r="E53" s="15"/>
      <c r="F53" s="15"/>
      <c r="G53" s="15"/>
      <c r="H53" s="15"/>
      <c r="I53" s="15"/>
      <c r="J53" s="15"/>
      <c r="K53" s="15"/>
      <c r="L53" s="16"/>
      <c r="N53">
        <f>SQRT((E55*E55-E58*E58)/4)</f>
        <v>5.8864250611045749E-2</v>
      </c>
    </row>
    <row r="54" spans="1:15" ht="12.75" customHeight="1" thickBot="1" x14ac:dyDescent="0.2">
      <c r="A54" s="14"/>
      <c r="B54" s="15"/>
      <c r="C54" s="15"/>
      <c r="D54" s="15"/>
      <c r="E54" s="15"/>
      <c r="F54" s="15"/>
      <c r="G54" s="15"/>
      <c r="H54" s="15"/>
      <c r="I54" s="15"/>
      <c r="J54" s="15"/>
      <c r="K54" s="33"/>
      <c r="L54" s="34"/>
      <c r="N54" s="703">
        <f>N52-N53</f>
        <v>1.3574938895424826E-4</v>
      </c>
      <c r="O54" s="703"/>
    </row>
    <row r="55" spans="1:15" ht="12.75" customHeight="1" x14ac:dyDescent="0.15">
      <c r="A55" s="697" t="s">
        <v>33</v>
      </c>
      <c r="B55" s="698"/>
      <c r="C55" s="699"/>
      <c r="D55" s="15"/>
      <c r="E55" s="641">
        <v>0.11799999999999999</v>
      </c>
      <c r="F55" s="642"/>
      <c r="G55" s="15"/>
      <c r="H55" s="641">
        <v>0.5</v>
      </c>
      <c r="I55" s="642"/>
      <c r="J55" s="15"/>
      <c r="K55" s="645"/>
      <c r="L55" s="659"/>
    </row>
    <row r="56" spans="1:15" ht="12.75" customHeight="1" thickBot="1" x14ac:dyDescent="0.2">
      <c r="A56" s="700"/>
      <c r="B56" s="701"/>
      <c r="C56" s="702"/>
      <c r="D56" s="15"/>
      <c r="E56" s="643"/>
      <c r="F56" s="644"/>
      <c r="G56" s="15"/>
      <c r="H56" s="643"/>
      <c r="I56" s="644"/>
      <c r="J56" s="15"/>
      <c r="K56" s="660"/>
      <c r="L56" s="661"/>
    </row>
    <row r="57" spans="1:15" ht="12.75" customHeight="1" thickBot="1" x14ac:dyDescent="0.2">
      <c r="A57" s="14"/>
      <c r="B57" s="15"/>
      <c r="C57" s="15"/>
      <c r="D57" s="15"/>
      <c r="E57" s="15"/>
      <c r="F57" s="15"/>
      <c r="G57" s="15"/>
      <c r="H57" s="15"/>
      <c r="I57" s="15"/>
      <c r="J57" s="15"/>
      <c r="K57" s="15"/>
      <c r="L57" s="16"/>
    </row>
    <row r="58" spans="1:15" ht="12.75" customHeight="1" x14ac:dyDescent="0.15">
      <c r="A58" s="677" t="s">
        <v>34</v>
      </c>
      <c r="B58" s="678"/>
      <c r="C58" s="679"/>
      <c r="D58" s="15"/>
      <c r="E58" s="641">
        <v>8.0000000000000002E-3</v>
      </c>
      <c r="F58" s="642"/>
      <c r="G58" s="15"/>
      <c r="H58" s="645"/>
      <c r="I58" s="646"/>
      <c r="J58" s="15"/>
      <c r="K58" s="641">
        <v>3.0000000000000001E-3</v>
      </c>
      <c r="L58" s="642"/>
      <c r="N58" s="35">
        <f>H61/317500</f>
        <v>1.2598425196850394E-5</v>
      </c>
    </row>
    <row r="59" spans="1:15" ht="12.75" customHeight="1" thickBot="1" x14ac:dyDescent="0.2">
      <c r="A59" s="680"/>
      <c r="B59" s="681"/>
      <c r="C59" s="682"/>
      <c r="D59" s="15"/>
      <c r="E59" s="643"/>
      <c r="F59" s="644"/>
      <c r="G59" s="15"/>
      <c r="H59" s="647"/>
      <c r="I59" s="648"/>
      <c r="J59" s="15"/>
      <c r="K59" s="643"/>
      <c r="L59" s="644"/>
      <c r="N59">
        <f>H55/2*8</f>
        <v>2</v>
      </c>
    </row>
    <row r="60" spans="1:15" ht="12.75" customHeight="1" thickBot="1" x14ac:dyDescent="0.2">
      <c r="A60" s="14"/>
      <c r="B60" s="15"/>
      <c r="C60" s="15"/>
      <c r="D60" s="15"/>
      <c r="E60" s="15"/>
      <c r="F60" s="15"/>
      <c r="G60" s="15"/>
      <c r="H60" s="15"/>
      <c r="I60" s="15"/>
      <c r="J60" s="15"/>
      <c r="K60" s="15"/>
      <c r="L60" s="16"/>
      <c r="N60" s="36">
        <f>N59*N58</f>
        <v>2.5196850393700788E-5</v>
      </c>
    </row>
    <row r="61" spans="1:15" ht="12.75" customHeight="1" x14ac:dyDescent="0.15">
      <c r="A61" s="677" t="s">
        <v>35</v>
      </c>
      <c r="B61" s="678"/>
      <c r="C61" s="679"/>
      <c r="D61" s="15"/>
      <c r="E61" s="645"/>
      <c r="F61" s="646"/>
      <c r="G61" s="15"/>
      <c r="H61" s="655">
        <v>4</v>
      </c>
      <c r="I61" s="656"/>
      <c r="J61" s="15"/>
      <c r="K61" s="655">
        <v>4</v>
      </c>
      <c r="L61" s="656"/>
    </row>
    <row r="62" spans="1:15" ht="12.75" customHeight="1" thickBot="1" x14ac:dyDescent="0.2">
      <c r="A62" s="680"/>
      <c r="B62" s="681"/>
      <c r="C62" s="682"/>
      <c r="D62" s="15"/>
      <c r="E62" s="647"/>
      <c r="F62" s="648"/>
      <c r="G62" s="15"/>
      <c r="H62" s="657"/>
      <c r="I62" s="658"/>
      <c r="J62" s="15"/>
      <c r="K62" s="657"/>
      <c r="L62" s="658"/>
    </row>
    <row r="63" spans="1:15" ht="12.75" customHeight="1" x14ac:dyDescent="0.15">
      <c r="A63" s="14"/>
      <c r="B63" s="15"/>
      <c r="C63" s="15"/>
      <c r="D63" s="15"/>
      <c r="E63" s="15"/>
      <c r="F63" s="15"/>
      <c r="G63" s="15"/>
      <c r="H63" s="15"/>
      <c r="I63" s="15"/>
      <c r="J63" s="15"/>
      <c r="K63" s="15"/>
      <c r="L63" s="16"/>
    </row>
    <row r="64" spans="1:15" ht="12.75" customHeight="1" x14ac:dyDescent="0.15">
      <c r="A64" s="37"/>
      <c r="B64" s="38"/>
      <c r="C64" s="38"/>
      <c r="D64" s="38"/>
      <c r="E64" s="38"/>
      <c r="F64" s="38"/>
      <c r="G64" s="38"/>
      <c r="H64" s="38"/>
      <c r="I64" s="38"/>
      <c r="J64" s="38"/>
      <c r="K64" s="38"/>
      <c r="L64" s="39"/>
      <c r="N64" s="35">
        <f>K61/317500</f>
        <v>1.2598425196850394E-5</v>
      </c>
    </row>
    <row r="65" spans="1:14" ht="12.75" customHeight="1" x14ac:dyDescent="0.15">
      <c r="A65" s="37"/>
      <c r="B65" s="38"/>
      <c r="C65" s="38"/>
      <c r="D65" s="38"/>
      <c r="E65" s="38"/>
      <c r="F65" s="38"/>
      <c r="G65" s="38"/>
      <c r="H65" s="38"/>
      <c r="I65" s="38"/>
      <c r="J65" s="38"/>
      <c r="K65" s="38"/>
      <c r="L65" s="39"/>
      <c r="N65" s="35">
        <f>N64*8</f>
        <v>1.0078740157480315E-4</v>
      </c>
    </row>
    <row r="66" spans="1:14" ht="12.75" customHeight="1" x14ac:dyDescent="0.15">
      <c r="A66" s="37"/>
      <c r="B66" s="38"/>
      <c r="C66" s="38"/>
      <c r="D66" s="38"/>
      <c r="E66" s="686" t="s">
        <v>36</v>
      </c>
      <c r="F66" s="687"/>
      <c r="G66" s="687"/>
      <c r="H66" s="687"/>
      <c r="I66" s="687"/>
      <c r="J66" s="687"/>
      <c r="K66" s="687"/>
      <c r="L66" s="39"/>
      <c r="N66" s="35">
        <f>K58*K58</f>
        <v>9.0000000000000002E-6</v>
      </c>
    </row>
    <row r="67" spans="1:14" ht="12.75" customHeight="1" thickBot="1" x14ac:dyDescent="0.2">
      <c r="A67" s="37"/>
      <c r="B67" s="38"/>
      <c r="C67" s="38"/>
      <c r="D67" s="38"/>
      <c r="E67" s="687"/>
      <c r="F67" s="687"/>
      <c r="G67" s="687"/>
      <c r="H67" s="687"/>
      <c r="I67" s="687"/>
      <c r="J67" s="687"/>
      <c r="K67" s="687"/>
      <c r="L67" s="39"/>
    </row>
    <row r="68" spans="1:14" ht="12.75" customHeight="1" thickTop="1" x14ac:dyDescent="0.15">
      <c r="A68" s="37"/>
      <c r="B68" s="38"/>
      <c r="C68" s="38"/>
      <c r="D68" s="694" t="s">
        <v>37</v>
      </c>
      <c r="E68" s="601"/>
      <c r="F68" s="683">
        <v>0.5</v>
      </c>
      <c r="G68" s="688" t="s">
        <v>38</v>
      </c>
      <c r="H68" s="674">
        <v>0.03</v>
      </c>
      <c r="I68" s="691" t="s">
        <v>39</v>
      </c>
      <c r="J68" s="662">
        <f>(F68/2)-N75</f>
        <v>4.5040573064439315E-4</v>
      </c>
      <c r="K68" s="663"/>
      <c r="L68" s="40"/>
    </row>
    <row r="69" spans="1:14" ht="12.75" customHeight="1" x14ac:dyDescent="0.15">
      <c r="A69" s="37"/>
      <c r="B69" s="38"/>
      <c r="C69" s="38"/>
      <c r="D69" s="695"/>
      <c r="E69" s="696"/>
      <c r="F69" s="684"/>
      <c r="G69" s="689"/>
      <c r="H69" s="675"/>
      <c r="I69" s="692"/>
      <c r="J69" s="664"/>
      <c r="K69" s="665"/>
      <c r="L69" s="40"/>
    </row>
    <row r="70" spans="1:14" ht="12.75" customHeight="1" thickBot="1" x14ac:dyDescent="0.2">
      <c r="A70" s="37"/>
      <c r="B70" s="38"/>
      <c r="C70" s="38"/>
      <c r="D70" s="602"/>
      <c r="E70" s="603"/>
      <c r="F70" s="685"/>
      <c r="G70" s="690"/>
      <c r="H70" s="676"/>
      <c r="I70" s="693"/>
      <c r="J70" s="666"/>
      <c r="K70" s="667"/>
      <c r="L70" s="41"/>
    </row>
    <row r="71" spans="1:14" ht="12.75" customHeight="1" thickTop="1" x14ac:dyDescent="0.15">
      <c r="A71" s="37"/>
      <c r="B71" s="38"/>
      <c r="C71" s="38"/>
      <c r="D71" s="38"/>
      <c r="E71" s="38"/>
      <c r="F71" s="38"/>
      <c r="G71" s="38"/>
      <c r="H71" s="38"/>
      <c r="I71" s="38"/>
      <c r="J71" s="38"/>
      <c r="K71" s="38"/>
      <c r="L71" s="39"/>
    </row>
    <row r="72" spans="1:14" ht="12.75" customHeight="1" x14ac:dyDescent="0.15">
      <c r="A72" s="37"/>
      <c r="B72" s="38"/>
      <c r="C72" s="38"/>
      <c r="D72" s="38"/>
      <c r="E72" s="38"/>
      <c r="F72" s="38"/>
      <c r="G72" s="38"/>
      <c r="H72" s="38"/>
      <c r="I72" s="38"/>
      <c r="J72" s="38"/>
      <c r="K72" s="38"/>
      <c r="L72" s="39"/>
      <c r="N72">
        <f>F68*F68</f>
        <v>0.25</v>
      </c>
    </row>
    <row r="73" spans="1:14" ht="12.75" customHeight="1" thickBot="1" x14ac:dyDescent="0.2">
      <c r="A73" s="42"/>
      <c r="B73" s="43"/>
      <c r="C73" s="43"/>
      <c r="D73" s="43"/>
      <c r="E73" s="43"/>
      <c r="F73" s="573" t="s">
        <v>40</v>
      </c>
      <c r="G73" s="574"/>
      <c r="H73" s="43"/>
      <c r="I73" s="43"/>
      <c r="J73" s="43"/>
      <c r="K73" s="43"/>
      <c r="L73" s="44"/>
      <c r="N73">
        <f>H68*H68</f>
        <v>8.9999999999999998E-4</v>
      </c>
    </row>
    <row r="74" spans="1:14" ht="12.75" customHeight="1" thickTop="1" x14ac:dyDescent="0.15">
      <c r="G74" s="45"/>
      <c r="N74">
        <f>(N72-N73)/4</f>
        <v>6.2274999999999997E-2</v>
      </c>
    </row>
    <row r="75" spans="1:14" ht="12.75" customHeight="1" x14ac:dyDescent="0.15">
      <c r="N75">
        <f>SQRT(N74)</f>
        <v>0.24954959426935561</v>
      </c>
    </row>
    <row r="76" spans="1:14" ht="12.75" customHeight="1" x14ac:dyDescent="0.15"/>
    <row r="77" spans="1:14" ht="18" customHeight="1" x14ac:dyDescent="0.15"/>
    <row r="78" spans="1:14" ht="18" customHeight="1" x14ac:dyDescent="0.15"/>
    <row r="79" spans="1:14" ht="18" customHeight="1" x14ac:dyDescent="0.15"/>
    <row r="80" spans="1:14" ht="18" customHeight="1" x14ac:dyDescent="0.15"/>
    <row r="81" ht="18" customHeight="1" x14ac:dyDescent="0.15"/>
    <row r="82" ht="18" customHeight="1" x14ac:dyDescent="0.15"/>
    <row r="83" ht="18" customHeight="1" x14ac:dyDescent="0.15"/>
  </sheetData>
  <sheetProtection sheet="1" objects="1" scenarios="1"/>
  <mergeCells count="70">
    <mergeCell ref="A6:B6"/>
    <mergeCell ref="A23:D24"/>
    <mergeCell ref="E23:E24"/>
    <mergeCell ref="C6:D6"/>
    <mergeCell ref="A1:L4"/>
    <mergeCell ref="A14:L16"/>
    <mergeCell ref="B20:D21"/>
    <mergeCell ref="E20:E21"/>
    <mergeCell ref="G20:I21"/>
    <mergeCell ref="J20:J21"/>
    <mergeCell ref="D18:I18"/>
    <mergeCell ref="I5:J5"/>
    <mergeCell ref="K5:L5"/>
    <mergeCell ref="A5:B5"/>
    <mergeCell ref="K20:K21"/>
    <mergeCell ref="G26:I27"/>
    <mergeCell ref="J26:J27"/>
    <mergeCell ref="B26:D27"/>
    <mergeCell ref="E26:E27"/>
    <mergeCell ref="F23:F24"/>
    <mergeCell ref="N54:O54"/>
    <mergeCell ref="A36:L39"/>
    <mergeCell ref="E45:F47"/>
    <mergeCell ref="E49:F51"/>
    <mergeCell ref="H49:I51"/>
    <mergeCell ref="A52:C53"/>
    <mergeCell ref="H45:I47"/>
    <mergeCell ref="K45:L47"/>
    <mergeCell ref="A45:C47"/>
    <mergeCell ref="K49:L51"/>
    <mergeCell ref="D41:I41"/>
    <mergeCell ref="B43:K43"/>
    <mergeCell ref="A29:B32"/>
    <mergeCell ref="H68:H70"/>
    <mergeCell ref="A61:C62"/>
    <mergeCell ref="F68:F70"/>
    <mergeCell ref="E66:K67"/>
    <mergeCell ref="G68:G70"/>
    <mergeCell ref="I68:I70"/>
    <mergeCell ref="D68:E70"/>
    <mergeCell ref="A55:C56"/>
    <mergeCell ref="E61:F62"/>
    <mergeCell ref="H55:I56"/>
    <mergeCell ref="A58:C59"/>
    <mergeCell ref="D29:E32"/>
    <mergeCell ref="G29:H32"/>
    <mergeCell ref="A33:B34"/>
    <mergeCell ref="I29:I30"/>
    <mergeCell ref="C5:D5"/>
    <mergeCell ref="E5:F5"/>
    <mergeCell ref="G5:H5"/>
    <mergeCell ref="K23:K24"/>
    <mergeCell ref="F73:G73"/>
    <mergeCell ref="K61:L62"/>
    <mergeCell ref="K55:L56"/>
    <mergeCell ref="K58:L59"/>
    <mergeCell ref="J68:K70"/>
    <mergeCell ref="H61:I62"/>
    <mergeCell ref="D33:E34"/>
    <mergeCell ref="G33:H34"/>
    <mergeCell ref="G23:I24"/>
    <mergeCell ref="J23:J24"/>
    <mergeCell ref="J29:K32"/>
    <mergeCell ref="J33:K34"/>
    <mergeCell ref="E58:F59"/>
    <mergeCell ref="H58:I59"/>
    <mergeCell ref="E55:F56"/>
    <mergeCell ref="E6:F6"/>
    <mergeCell ref="G6:H6"/>
    <mergeCell ref="I6:J6"/>
  </mergeCells>
  <phoneticPr fontId="0" type="noConversion"/>
  <hyperlinks>
    <hyperlink ref="F73:G73" location="A1" display="A1" xr:uid="{00000000-0004-0000-0700-000000000000}"/>
    <hyperlink ref="A5:B5" location="'CONTENTS PAGE'!A1" display="'CONTENTS PAGE'!A1" xr:uid="{00000000-0004-0000-0700-000001000000}"/>
    <hyperlink ref="C5:D5" r:id="rId1" location="'CALCULATIONS PAGE'!A1" display="Calculations Page" xr:uid="{00000000-0004-0000-0700-000002000000}"/>
    <hyperlink ref="E5:F5" location="'MATERIALS PAGE'!A1" display="'MATERIALS PAGE'!A1" xr:uid="{00000000-0004-0000-0700-000003000000}"/>
    <hyperlink ref="G5:H5" r:id="rId2" location="'MILL INDEXABLE vs INDEXABLE'!A1" display="Milling Indexable vs Indexable Tools" xr:uid="{00000000-0004-0000-0700-000004000000}"/>
    <hyperlink ref="I5:J5" r:id="rId3" location="'MILLING INDEXABLE vs SOLID TOOL'!A1" display="Milling Indexable vs Solid Tools" xr:uid="{00000000-0004-0000-0700-000005000000}"/>
    <hyperlink ref="K5:L5" r:id="rId4" location="'MILLING SOLID vs. SOLID TOOL'!A1" display="Milling Solid vs Solid Tools" xr:uid="{00000000-0004-0000-0700-000006000000}"/>
    <hyperlink ref="A6:B6" r:id="rId5" location="'MILL POWER CALCULATOR (2)'!A1" display="Milling Power Page" xr:uid="{00000000-0004-0000-0700-000007000000}"/>
    <hyperlink ref="C6:D6" location="'ROUND INSERT TOOLS'!A60" display="Ball Nose Surface Finish Calculator" xr:uid="{00000000-0004-0000-0700-000008000000}"/>
    <hyperlink ref="E6:F6" r:id="rId6" location="'TURNING POWER CALCULATIONS'!A1" display="Turning Power Page" xr:uid="{00000000-0004-0000-0700-000009000000}"/>
    <hyperlink ref="G6:H6" r:id="rId7" location="'DRILL POWER CALCULATOR (2)'!A1" display="Drilling Power Page" xr:uid="{00000000-0004-0000-0700-00000A000000}"/>
    <hyperlink ref="I6:J6" r:id="rId8" location="'PARTING &amp; GROOVING POWER CALCUL'!A1" display="Parting &amp; Grooving Power" xr:uid="{00000000-0004-0000-0700-00000B000000}"/>
  </hyperlinks>
  <printOptions horizontalCentered="1" verticalCentered="1"/>
  <pageMargins left="0" right="0" top="0" bottom="0" header="0" footer="0"/>
  <pageSetup scale="79" orientation="portrait" r:id="rId9"/>
  <headerFooter alignWithMargins="0"/>
  <drawing r:id="rId10"/>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METRIC CONVERSIONS</vt:lpstr>
      <vt:lpstr>CIRCLE INTERPOLATIONS</vt:lpstr>
      <vt:lpstr>RADIAL CHIP THINNING</vt:lpstr>
      <vt:lpstr>LEAD ANGLES</vt:lpstr>
      <vt:lpstr>MILL FINISHES</vt:lpstr>
      <vt:lpstr>CALCULATIONS PAGE</vt:lpstr>
      <vt:lpstr>TURN SURFACE FINISHES</vt:lpstr>
      <vt:lpstr>ROUND INSERT TOOLS</vt:lpstr>
      <vt:lpstr>CALCULATIONS PAGE!Print_Area</vt:lpstr>
      <vt:lpstr>ROUND INSERT TOOLS!Print_Area</vt:lpstr>
      <vt:lpstr>TURN SURFACE FINISHES!Print_Area</vt:lpstr>
    </vt:vector>
  </TitlesOfParts>
  <Company>Iscar Metals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Gadzinski</dc:creator>
  <cp:lastModifiedBy>X</cp:lastModifiedBy>
  <cp:lastPrinted>2004-12-01T20:41:55Z</cp:lastPrinted>
  <dcterms:created xsi:type="dcterms:W3CDTF">2004-11-30T20:25:15Z</dcterms:created>
  <dcterms:modified xsi:type="dcterms:W3CDTF">2024-04-11T14:02:36Z</dcterms:modified>
</cp:coreProperties>
</file>